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180" activeTab="0"/>
  </bookViews>
  <sheets>
    <sheet name="КСП РФ" sheetId="1" r:id="rId1"/>
  </sheets>
  <definedNames>
    <definedName name="Z_02002C9F_9656_4710_9520_47F252DF1816_.wvu.FilterData" localSheetId="0" hidden="1">'КСП РФ'!$A$4:$B$239</definedName>
    <definedName name="Z_044044B3_B14B_4BC3_823B_9A65E105B3B2_.wvu.FilterData" localSheetId="0" hidden="1">'КСП РФ'!$A$4:$B$239</definedName>
    <definedName name="Z_044F5AC9_A11D_40BC_8B53_15907E2F3B05_.wvu.FilterData" localSheetId="0" hidden="1">'КСП РФ'!$A$4:$B$239</definedName>
    <definedName name="Z_0585DAB3_6ED9_42E0_895E_1CEF6B1C3709_.wvu.FilterData" localSheetId="0" hidden="1">'КСП РФ'!$A$4:$B$244</definedName>
    <definedName name="Z_05C3C756_5AAA_4638_A98D_7FA8C75CB69C_.wvu.FilterData" localSheetId="0" hidden="1">'КСП РФ'!$A$4:$B$239</definedName>
    <definedName name="Z_06B0730E_C4FB_49F4_BA72_9215BDF80987_.wvu.FilterData" localSheetId="0" hidden="1">'КСП РФ'!$A$4:$B$239</definedName>
    <definedName name="Z_0834D93F_B2F8_4568_AC21_6BB131C002F3_.wvu.FilterData" localSheetId="0" hidden="1">'КСП РФ'!$A$4:$B$244</definedName>
    <definedName name="Z_0A8FA9AC_2F93_4C12_9850_7D10486BC994_.wvu.Cols" localSheetId="0" hidden="1">'КСП РФ'!$A:$A,'КСП РФ'!#REF!,'КСП РФ'!#REF!</definedName>
    <definedName name="Z_0A8FA9AC_2F93_4C12_9850_7D10486BC994_.wvu.FilterData" localSheetId="0" hidden="1">'КСП РФ'!$A$4:$B$244</definedName>
    <definedName name="Z_0A8FA9AC_2F93_4C12_9850_7D10486BC994_.wvu.Rows" localSheetId="0" hidden="1">'КСП РФ'!$3:$3,'КСП РФ'!$14:$22,'КСП РФ'!$42:$56,'КСП РФ'!$58:$77,'КСП РФ'!$79:$90,'КСП РФ'!$92:$109,'КСП РФ'!$111:$121,'КСП РФ'!$123:$129,'КСП РФ'!$131:$142,'КСП РФ'!$144:$148,'КСП РФ'!$150:$165,'КСП РФ'!$167:$182,'КСП РФ'!$184:$189,'КСП РФ'!$191:$205,'КСП РФ'!$207:$214,'КСП РФ'!$216:$216,'КСП РФ'!$218:$226,'КСП РФ'!$228:$239</definedName>
    <definedName name="Z_0FAA4B22_90F2_4E27_8828_C2C6432E73E6_.wvu.FilterData" localSheetId="0" hidden="1">'КСП РФ'!$A$4:$B$239</definedName>
    <definedName name="Z_119C6176_C036_4214_BF47_8B188DF110E7_.wvu.FilterData" localSheetId="0" hidden="1">'КСП РФ'!$A$4:$B$239</definedName>
    <definedName name="Z_14EC8C3A_2FFD_495B_8272_6BE80BD01BD7_.wvu.FilterData" localSheetId="0" hidden="1">'КСП РФ'!$A$4:$B$239</definedName>
    <definedName name="Z_16C35C73_1946_486D_9398_2D8593E43CA0_.wvu.FilterData" localSheetId="0" hidden="1">'КСП РФ'!$A$4:$B$239</definedName>
    <definedName name="Z_16CF0A3E_41BD_47E1_A919_6E49DDCED150_.wvu.FilterData" localSheetId="0" hidden="1">'КСП РФ'!$A$4:$B$239</definedName>
    <definedName name="Z_16F725BE_18B4_4D7A_AE3D_226D12B777F3_.wvu.FilterData" localSheetId="0" hidden="1">'КСП РФ'!$A$4:$B$239</definedName>
    <definedName name="Z_17A54876_4121_4BF0_AB9E_C7C46B9B45D5_.wvu.FilterData" localSheetId="0" hidden="1">'КСП РФ'!$A$4:$B$239</definedName>
    <definedName name="Z_1890DE4D_09AD_4E1C_9BC0_17A3F34861C3_.wvu.FilterData" localSheetId="0" hidden="1">'КСП РФ'!$A$4:$B$239</definedName>
    <definedName name="Z_18CDB7EB_6019_4197_9BFD_80E73DA59207_.wvu.FilterData" localSheetId="0" hidden="1">'КСП РФ'!$A$4:$B$239</definedName>
    <definedName name="Z_18D9DBA3_24B1_44D0_AAB9_451C3724A746_.wvu.FilterData" localSheetId="0" hidden="1">'КСП РФ'!$A$4:$B$239</definedName>
    <definedName name="Z_1DCC8F43_7BDE_45E8_94BE_C22815CAC58E_.wvu.FilterData" localSheetId="0" hidden="1">'КСП РФ'!$A$4:$B$239</definedName>
    <definedName name="Z_1F52345C_2EFB_4010_ABAC_3870B0B287B6_.wvu.FilterData" localSheetId="0" hidden="1">'КСП РФ'!$A$4:$B$239</definedName>
    <definedName name="Z_2417DCB5_2160_4B6D_8BFD_C13BF60B7330_.wvu.FilterData" localSheetId="0" hidden="1">'КСП РФ'!$A$4:$B$239</definedName>
    <definedName name="Z_28C630B7_A294_4359_B9F0_832FB4BBD3A7_.wvu.FilterData" localSheetId="0" hidden="1">'КСП РФ'!$A$4:$B$244</definedName>
    <definedName name="Z_2C1F2C32_2992_4E1A_B35A_B8B15E4ABD5E_.wvu.FilterData" localSheetId="0" hidden="1">'КСП РФ'!$A$4:$B$239</definedName>
    <definedName name="Z_2D3246F9_CB0D_400C_ACB5_678EB89472B2_.wvu.FilterData" localSheetId="0" hidden="1">'КСП РФ'!$A$4:$B$239</definedName>
    <definedName name="Z_2D617C5E_C427_460F_BAA1_1EAF8D2088DB_.wvu.FilterData" localSheetId="0" hidden="1">'КСП РФ'!$A$4:$B$244</definedName>
    <definedName name="Z_2DBE5109_0507_4B43_93B2_7BA9568852C3_.wvu.FilterData" localSheetId="0" hidden="1">'КСП РФ'!$A$4:$B$239</definedName>
    <definedName name="Z_2DD541D5_36EF_475F_93ED_CD47D35F4D34_.wvu.Cols" localSheetId="0" hidden="1">'КСП РФ'!$A:$A,'КСП РФ'!#REF!,'КСП РФ'!#REF!,'КСП РФ'!$D:$D,'КСП РФ'!#REF!</definedName>
    <definedName name="Z_2DD541D5_36EF_475F_93ED_CD47D35F4D34_.wvu.FilterData" localSheetId="0" hidden="1">'КСП РФ'!$A$4:$B$244</definedName>
    <definedName name="Z_2DD541D5_36EF_475F_93ED_CD47D35F4D34_.wvu.Rows" localSheetId="0" hidden="1">'КСП РФ'!$3:$3,'КСП РФ'!$14:$22,'КСП РФ'!$24:$40,'КСП РФ'!$42:$56,'КСП РФ'!$58:$77,'КСП РФ'!$79:$90,'КСП РФ'!$92:$109,'КСП РФ'!$111:$121,'КСП РФ'!$123:$129,'КСП РФ'!$131:$142,'КСП РФ'!$144:$148,'КСП РФ'!$150:$165,'КСП РФ'!$167:$182,'КСП РФ'!$184:$189,'КСП РФ'!$191:$205,'КСП РФ'!$216:$216,'КСП РФ'!$218:$226,'КСП РФ'!$228:$239</definedName>
    <definedName name="Z_300EB4A5_8174_4FEE_8BFB_1C962E412DB5_.wvu.FilterData" localSheetId="0" hidden="1">'КСП РФ'!$A$4:$B$239</definedName>
    <definedName name="Z_30CFC334_C654_41A4_9624_1149F3CF9F67_.wvu.FilterData" localSheetId="0" hidden="1">'КСП РФ'!$A$4:$B$244</definedName>
    <definedName name="Z_31441073_EAB7_4044_888E_343F8F07B8B7_.wvu.FilterData" localSheetId="0" hidden="1">'КСП РФ'!$A$4:$B$239</definedName>
    <definedName name="Z_3245FDF7_B938_418D_921E_3B74F8749762_.wvu.FilterData" localSheetId="0" hidden="1">'КСП РФ'!$A$4:$B$239</definedName>
    <definedName name="Z_3247E988_3F41_4436_9AC0_FAE662C9C66D_.wvu.FilterData" localSheetId="0" hidden="1">'КСП РФ'!$A$4:$B$239</definedName>
    <definedName name="Z_36BDF709_B610_47DF_925B_6538FC4B2D16_.wvu.FilterData" localSheetId="0" hidden="1">'КСП РФ'!$A$4:$B$239</definedName>
    <definedName name="Z_381F9A5D_1399_4659_A12B_83077841BDBB_.wvu.FilterData" localSheetId="0" hidden="1">'КСП РФ'!$A$4:$B$239</definedName>
    <definedName name="Z_3AE4B155_253F_4EBC_8CF5_D22BED6C5B6E_.wvu.FilterData" localSheetId="0" hidden="1">'КСП РФ'!$A$4:$B$244</definedName>
    <definedName name="Z_3B6D2F57_ABF1_4104_A818_B8BDC32F30F8_.wvu.FilterData" localSheetId="0" hidden="1">'КСП РФ'!$A$4:$B$239</definedName>
    <definedName name="Z_3C534CAE_9843_40AD_A6F6_92F60A703F9E_.wvu.FilterData" localSheetId="0" hidden="1">'КСП РФ'!$A$4:$B$239</definedName>
    <definedName name="Z_3E54D20F_1DD8_44CF_B3A8_B8CE720101C3_.wvu.FilterData" localSheetId="0" hidden="1">'КСП РФ'!$A$4:$B$239</definedName>
    <definedName name="Z_3F2E45EE_622D_40AD_AF0C_4867D5E95F79_.wvu.FilterData" localSheetId="0" hidden="1">'КСП РФ'!$A$4:$B$239</definedName>
    <definedName name="Z_3F73DAB4_2921_45AC_946E_7649F9E89D3C_.wvu.FilterData" localSheetId="0" hidden="1">'КСП РФ'!$A$4:$B$244</definedName>
    <definedName name="Z_3F77A3C3_DB58_488B_BE68_019679B029ED_.wvu.FilterData" localSheetId="0" hidden="1">'КСП РФ'!$A$4:$B$239</definedName>
    <definedName name="Z_3F7F0EB7_44F5_4369_B0FB_B07BFC221973_.wvu.FilterData" localSheetId="0" hidden="1">'КСП РФ'!$A$4:$B$244</definedName>
    <definedName name="Z_4044517D_0D81_4945_91AE_B86DEDBD77D7_.wvu.FilterData" localSheetId="0" hidden="1">'КСП РФ'!$A$4:$B$239</definedName>
    <definedName name="Z_40FE0FFF_9E53_436D_881E_8D41D344EE72_.wvu.FilterData" localSheetId="0" hidden="1">'КСП РФ'!$A$4:$B$239</definedName>
    <definedName name="Z_411EC4FF_FC4F_4F73_88CE_788F5678EFFF_.wvu.FilterData" localSheetId="0" hidden="1">'КСП РФ'!$A$4:$B$244</definedName>
    <definedName name="Z_4227AA38_134E_4048_A1CE_3ED637E88B2D_.wvu.FilterData" localSheetId="0" hidden="1">'КСП РФ'!$A$4:$B$244</definedName>
    <definedName name="Z_43717B22_05BD_4974_90BB_EF90E009674E_.wvu.FilterData" localSheetId="0" hidden="1">'КСП РФ'!$A$4:$B$239</definedName>
    <definedName name="Z_450A5A17_8617_4C9A_BB49_F834F00D241C_.wvu.Cols" localSheetId="0" hidden="1">'КСП РФ'!$A:$A,'КСП РФ'!#REF!,'КСП РФ'!#REF!,'КСП РФ'!#REF!</definedName>
    <definedName name="Z_450A5A17_8617_4C9A_BB49_F834F00D241C_.wvu.FilterData" localSheetId="0" hidden="1">'КСП РФ'!$A$4:$B$244</definedName>
    <definedName name="Z_450A5A17_8617_4C9A_BB49_F834F00D241C_.wvu.Rows" localSheetId="0" hidden="1">'КСП РФ'!#REF!,'КСП РФ'!$14:$22,'КСП РФ'!$24:$40,'КСП РФ'!$42:$56,'КСП РФ'!$58:$77,'КСП РФ'!$79:$90,'КСП РФ'!$92:$109,'КСП РФ'!$111:$121,'КСП РФ'!$123:$129,'КСП РФ'!$131:$142,'КСП РФ'!$144:$148,'КСП РФ'!$150:$165,'КСП РФ'!$167:$182,'КСП РФ'!$184:$189,'КСП РФ'!$207:$214,'КСП РФ'!$216:$216,'КСП РФ'!$218:$226,'КСП РФ'!$228:$239</definedName>
    <definedName name="Z_475D4524_8420_4E2F_9219_ED152376D026_.wvu.FilterData" localSheetId="0" hidden="1">'КСП РФ'!$A$4:$B$239</definedName>
    <definedName name="Z_48BD1570_5552_4DFC_8346_35550C17C3DD_.wvu.FilterData" localSheetId="0" hidden="1">'КСП РФ'!$A$4:$B$240</definedName>
    <definedName name="Z_490443A1_D3C5_4CB6_B74A_16CA6F8CF387_.wvu.FilterData" localSheetId="0" hidden="1">'КСП РФ'!$A$4:$B$244</definedName>
    <definedName name="Z_4997779F_0500_4A66_85B0_22DC464B44B0_.wvu.FilterData" localSheetId="0" hidden="1">'КСП РФ'!$A$4:$B$239</definedName>
    <definedName name="Z_4A359089_B56E_40F9_B0C6_88820A9F4492_.wvu.FilterData" localSheetId="0" hidden="1">'КСП РФ'!$A$4:$B$239</definedName>
    <definedName name="Z_4B979321_331D_4B5D_9050_DBC897B23546_.wvu.FilterData" localSheetId="0" hidden="1">'КСП РФ'!$A$4:$B$239</definedName>
    <definedName name="Z_4E48AF63_E28B_498E_A387_2221B6F039F1_.wvu.FilterData" localSheetId="0" hidden="1">'КСП РФ'!$A$4:$B$239</definedName>
    <definedName name="Z_4FE8FFE7_3052_4D0E_9B65_22DFA453E02D_.wvu.FilterData" localSheetId="0" hidden="1">'КСП РФ'!$A$4:$B$240</definedName>
    <definedName name="Z_50531AAB_3992_49CC_B037_901DFD7C3FE0_.wvu.FilterData" localSheetId="0" hidden="1">'КСП РФ'!$A$4:$B$244</definedName>
    <definedName name="Z_51B22C9E_7874_42FB_8E9C_1D98EC94CD1D_.wvu.FilterData" localSheetId="0" hidden="1">'КСП РФ'!$A$4:$B$244</definedName>
    <definedName name="Z_529631B4_9EDB_4FE7_BEAA_A764913883F8_.wvu.FilterData" localSheetId="0" hidden="1">'КСП РФ'!$A$4:$B$239</definedName>
    <definedName name="Z_531367EE_D852_4A0C_A3F0_7AC3BB2F9189_.wvu.FilterData" localSheetId="0" hidden="1">'КСП РФ'!$A$4:$B$244</definedName>
    <definedName name="Z_53685884_8CC7_4167_973E_6D6AB654A757_.wvu.FilterData" localSheetId="0" hidden="1">'КСП РФ'!$A$4:$B$239</definedName>
    <definedName name="Z_54A46DF7_FCBA_48B1_8071_C9A1ED7CE3FC_.wvu.FilterData" localSheetId="0" hidden="1">'КСП РФ'!$A$4:$B$244</definedName>
    <definedName name="Z_54D39E9F_7FC8_4A39_A79F_6EFF26829919_.wvu.FilterData" localSheetId="0" hidden="1">'КСП РФ'!$A$4:$B$239</definedName>
    <definedName name="Z_57C32FD7_3BD3_4FD8_9E88_B38FB1AE8046_.wvu.FilterData" localSheetId="0" hidden="1">'КСП РФ'!$A$4:$B$244</definedName>
    <definedName name="Z_59D564B7_7EDB_4234_82F4_B462CBCEC2B0_.wvu.FilterData" localSheetId="0" hidden="1">'КСП РФ'!$A$4:$B$239</definedName>
    <definedName name="Z_5C29CA55_96C6_4A55_A18C_9D95C7609E54_.wvu.FilterData" localSheetId="0" hidden="1">'КСП РФ'!$A$4:$B$240</definedName>
    <definedName name="Z_5CD7F903_17A1_4949_B887_B3967EA5A8AD_.wvu.FilterData" localSheetId="0" hidden="1">'КСП РФ'!$A$4:$B$239</definedName>
    <definedName name="Z_5DC91A63_D8D7_494E_83AE_363F8A964074_.wvu.FilterData" localSheetId="0" hidden="1">'КСП РФ'!$A$4:$B$244</definedName>
    <definedName name="Z_5DF963DD_197E_4464_BE48_5944D687243C_.wvu.FilterData" localSheetId="0" hidden="1">'КСП РФ'!$A$4:$B$244</definedName>
    <definedName name="Z_639C2A00_6962_4D1F_BA64_CE9FFB74F617_.wvu.FilterData" localSheetId="0" hidden="1">'КСП РФ'!$A$4:$B$239</definedName>
    <definedName name="Z_6510F9A1_C021_4D6B_B743_CA04F82689AF_.wvu.FilterData" localSheetId="0" hidden="1">'КСП РФ'!$A$4:$B$239</definedName>
    <definedName name="Z_687581EC_21A5_4EED_B336_0A00372F0B30_.wvu.FilterData" localSheetId="0" hidden="1">'КСП РФ'!$A$4:$B$239</definedName>
    <definedName name="Z_68BFDDDA_6B30_4ADE_96C9_4923DB6C258D_.wvu.FilterData" localSheetId="0" hidden="1">'КСП РФ'!$A$4:$B$239</definedName>
    <definedName name="Z_694D3523_D61E_48C3_A872_B5C2D547CE20_.wvu.FilterData" localSheetId="0" hidden="1">'КСП РФ'!$A$4:$B$239</definedName>
    <definedName name="Z_6ADC1461_1960_4557_A972_5E516566546D_.wvu.FilterData" localSheetId="0" hidden="1">'КСП РФ'!$A$4:$B$239</definedName>
    <definedName name="Z_6B3CF5F3_BD31_42C3_BB94_A90BAD029D46_.wvu.FilterData" localSheetId="0" hidden="1">'КСП РФ'!$A$4:$B$244</definedName>
    <definedName name="Z_6B681F0F_2298_4AD6_ABCF_A65CA8F0D4CB_.wvu.FilterData" localSheetId="0" hidden="1">'КСП РФ'!$A$4:$B$239</definedName>
    <definedName name="Z_6D7DC88A_36B6_484B_8912_B9927E09D3B3_.wvu.FilterData" localSheetId="0" hidden="1">'КСП РФ'!$A$4:$B$239</definedName>
    <definedName name="Z_6DCAC98B_E31E_440C_9A30_0D0AD1AB25A4_.wvu.Cols" localSheetId="0" hidden="1">'КСП РФ'!$A:$A,'КСП РФ'!#REF!,'КСП РФ'!#REF!,'КСП РФ'!$D:$D,'КСП РФ'!#REF!</definedName>
    <definedName name="Z_6DCAC98B_E31E_440C_9A30_0D0AD1AB25A4_.wvu.FilterData" localSheetId="0" hidden="1">'КСП РФ'!$A$4:$B$244</definedName>
    <definedName name="Z_6DCAC98B_E31E_440C_9A30_0D0AD1AB25A4_.wvu.Rows" localSheetId="0" hidden="1">'КСП РФ'!$3:$3,'КСП РФ'!$14:$22,'КСП РФ'!$24:$40,'КСП РФ'!$42:$56,'КСП РФ'!$58:$77,'КСП РФ'!$79:$90,'КСП РФ'!$92:$109,'КСП РФ'!$111:$121,'КСП РФ'!$123:$129,'КСП РФ'!$131:$142,'КСП РФ'!$144:$148,'КСП РФ'!$150:$165,'КСП РФ'!$167:$182,'КСП РФ'!$184:$189,'КСП РФ'!$207:$214,'КСП РФ'!$216:$216,'КСП РФ'!$218:$226,'КСП РФ'!$228:$239</definedName>
    <definedName name="Z_6E44E2FC_A12D_4C6E_A468_085B4FC2B0BA_.wvu.FilterData" localSheetId="0" hidden="1">'КСП РФ'!$A$4:$B$244</definedName>
    <definedName name="Z_6F1803E9_48F6_4967_902D_B1C4DBA734E2_.wvu.FilterData" localSheetId="0" hidden="1">'КСП РФ'!$A$4:$B$239</definedName>
    <definedName name="Z_6FE935F8_72FB_4AFC_807E_FDBCE95D4FF4_.wvu.FilterData" localSheetId="0" hidden="1">'КСП РФ'!$A$4:$B$239</definedName>
    <definedName name="Z_70D39AD3_3CD0_4E7C_8E83_3C92CCD34B5C_.wvu.FilterData" localSheetId="0" hidden="1">'КСП РФ'!$A$4:$B$239</definedName>
    <definedName name="Z_72EE5271_B707_4024_9DB7_A7C28026FAAA_.wvu.FilterData" localSheetId="0" hidden="1">'КСП РФ'!$A$4:$B$244</definedName>
    <definedName name="Z_730B7F54_6374_4DC9_9935_A556186E893A_.wvu.FilterData" localSheetId="0" hidden="1">'КСП РФ'!$A$4:$B$239</definedName>
    <definedName name="Z_73F241BE_2B75_43EC_977E_BE4B13B98A43_.wvu.FilterData" localSheetId="0" hidden="1">'КСП РФ'!$A$4:$B$239</definedName>
    <definedName name="Z_767638FC_C184_4A8D_9612_FE3B7108A8E9_.wvu.FilterData" localSheetId="0" hidden="1">'КСП РФ'!$A$4:$B$244</definedName>
    <definedName name="Z_76B7F2C2_3CE9_44B2_B4D5_164649FEC065_.wvu.FilterData" localSheetId="0" hidden="1">'КСП РФ'!$A$4:$B$239</definedName>
    <definedName name="Z_7722BA14_5BC1_4115_8DC0_707507CB9AE8_.wvu.FilterData" localSheetId="0" hidden="1">'КСП РФ'!$A$4:$B$239</definedName>
    <definedName name="Z_772934B1_9E2A_48E5_A8C3_43A9684953CF_.wvu.FilterData" localSheetId="0" hidden="1">'КСП РФ'!$A$4:$B$239</definedName>
    <definedName name="Z_77C81DF1_12FC_426F_9BE1_0061316807BB_.wvu.FilterData" localSheetId="0" hidden="1">'КСП РФ'!$A$4:$B$239</definedName>
    <definedName name="Z_79FD1358_7CFB_4F4E_AFDA_220ABAB689DD_.wvu.FilterData" localSheetId="0" hidden="1">'КСП РФ'!$A$4:$B$239</definedName>
    <definedName name="Z_7A84DACA_90FE_45F9_B98B_0F4155A86028_.wvu.FilterData" localSheetId="0" hidden="1">'КСП РФ'!$A$4:$B$239</definedName>
    <definedName name="Z_7B30177C_39BE_4074_B713_CBAF5CC5FF6A_.wvu.FilterData" localSheetId="0" hidden="1">'КСП РФ'!$A$4:$B$239</definedName>
    <definedName name="Z_7BF18F6E_9536_4511_A866_CAEB91BB2BA1_.wvu.FilterData" localSheetId="0" hidden="1">'КСП РФ'!$A$4:$B$240</definedName>
    <definedName name="Z_7C62B694_292A_48AC_BF61_6099F0905825_.wvu.FilterData" localSheetId="0" hidden="1">'КСП РФ'!$A$4:$B$244</definedName>
    <definedName name="Z_7DACFD91_4A66_405D_8DCC_F43434F65D93_.wvu.FilterData" localSheetId="0" hidden="1">'КСП РФ'!$A$4:$B$244</definedName>
    <definedName name="Z_7ED07235_8017_477E_9CAC_B8D4D32A0606_.wvu.FilterData" localSheetId="0" hidden="1">'КСП РФ'!$A$4:$B$244</definedName>
    <definedName name="Z_803A4FB8_F1E2_4926_971B_93D9A4264FEB_.wvu.FilterData" localSheetId="0" hidden="1">'КСП РФ'!$A$4:$B$239</definedName>
    <definedName name="Z_80958244_1C4A_489B_86A4_DAB9F0AADF3A_.wvu.FilterData" localSheetId="0" hidden="1">'КСП РФ'!$A$4:$B$239</definedName>
    <definedName name="Z_82FFC530_BC43_4F05_B849_589B1C312732_.wvu.FilterData" localSheetId="0" hidden="1">'КСП РФ'!$A$4:$B$239</definedName>
    <definedName name="Z_8499B5AB_3EDF_4D8D_8A7E_BC81B6422E59_.wvu.FilterData" localSheetId="0" hidden="1">'КСП РФ'!$A$4:$B$239</definedName>
    <definedName name="Z_860CF1DF_A1DF_4F9A_9454_279E3FE374C1_.wvu.FilterData" localSheetId="0" hidden="1">'КСП РФ'!$A$4:$B$239</definedName>
    <definedName name="Z_8628CA31_FF05_4B80_934E_46F2ADDF59CD_.wvu.FilterData" localSheetId="0" hidden="1">'КСП РФ'!$A$4:$B$239</definedName>
    <definedName name="Z_875228C8_1212_45CA_914D_FD6E9C96E061_.wvu.FilterData" localSheetId="0" hidden="1">'КСП РФ'!$A$4:$B$239</definedName>
    <definedName name="Z_87932EBB_1D29_4810_A15F_2B44F3E15560_.wvu.FilterData" localSheetId="0" hidden="1">'КСП РФ'!$A$4:$B$239</definedName>
    <definedName name="Z_88B3AC72_B9CA_4B6B_A5CD_1ECEEE8AE595_.wvu.FilterData" localSheetId="0" hidden="1">'КСП РФ'!$A$4:$B$239</definedName>
    <definedName name="Z_8A7838C5_95AC_4646_8392_CA7467B74A99_.wvu.FilterData" localSheetId="0" hidden="1">'КСП РФ'!$A$4:$B$244</definedName>
    <definedName name="Z_8A9C6769_6BEE_42C4_B290_D462BF999E99_.wvu.FilterData" localSheetId="0" hidden="1">'КСП РФ'!$A$4:$B$239</definedName>
    <definedName name="Z_8C469F28_FAF6_4E91_91A9_BE2B62DE14DC_.wvu.FilterData" localSheetId="0" hidden="1">'КСП РФ'!$A$4:$B$239</definedName>
    <definedName name="Z_8F4E3DB7_A559_4D8E_A210_B8871CD2C877_.wvu.FilterData" localSheetId="0" hidden="1">'КСП РФ'!$A$4:$D$240</definedName>
    <definedName name="Z_8F6C2605_BEC2_4964_91BC_2CD5E6AC8D24_.wvu.FilterData" localSheetId="0" hidden="1">'КСП РФ'!$A$4:$B$239</definedName>
    <definedName name="Z_8FACFD09_09DB_4129_B0C4_1FAE478680D3_.wvu.FilterData" localSheetId="0" hidden="1">'КСП РФ'!$A$4:$B$244</definedName>
    <definedName name="Z_904461A4_D837_40CC_A9AF_BAF708C52B07_.wvu.Cols" localSheetId="0" hidden="1">'КСП РФ'!$A:$A,'КСП РФ'!#REF!,'КСП РФ'!#REF!</definedName>
    <definedName name="Z_904461A4_D837_40CC_A9AF_BAF708C52B07_.wvu.FilterData" localSheetId="0" hidden="1">'КСП РФ'!$A$4:$B$239</definedName>
    <definedName name="Z_904461A4_D837_40CC_A9AF_BAF708C52B07_.wvu.Rows" localSheetId="0" hidden="1">'КСП РФ'!$3:$3,'КСП РФ'!$14:$22,'КСП РФ'!$24:$40,'КСП РФ'!$42:$56,'КСП РФ'!$58:$77,'КСП РФ'!$79:$90,'КСП РФ'!$92:$109,'КСП РФ'!$111:$121,'КСП РФ'!$123:$129,'КСП РФ'!$131:$142,'КСП РФ'!$144:$148,'КСП РФ'!$150:$165,'КСП РФ'!$167:$182,'КСП РФ'!$184:$189,'КСП РФ'!$191:$205,'КСП РФ'!$207:$214,'КСП РФ'!$216:$216,'КСП РФ'!$218:$226,'КСП РФ'!$228:$239</definedName>
    <definedName name="Z_91771008_AA49_4CD0_8C49_A5E4265E093D_.wvu.FilterData" localSheetId="0" hidden="1">'КСП РФ'!$A$4:$B$244</definedName>
    <definedName name="Z_923DCC29_09C5_4A46_8C61_4C42C01F020A_.wvu.FilterData" localSheetId="0" hidden="1">'КСП РФ'!$A$4:$B$244</definedName>
    <definedName name="Z_9281D033_FEBC_44A3_B57C_350B3A71F8CA_.wvu.FilterData" localSheetId="0" hidden="1">'КСП РФ'!$A$4:$B$244</definedName>
    <definedName name="Z_95B648C6_4E1C_4E9E_A32E_7BE29C11F1F2_.wvu.Cols" localSheetId="0" hidden="1">'КСП РФ'!$A:$A,'КСП РФ'!#REF!,'КСП РФ'!#REF!,'КСП РФ'!#REF!,'КСП РФ'!$D:$D,'КСП РФ'!#REF!,'КСП РФ'!#REF!,'КСП РФ'!#REF!,'КСП РФ'!#REF!,'КСП РФ'!#REF!,'КСП РФ'!#REF!,'КСП РФ'!#REF!,'КСП РФ'!#REF!,'КСП РФ'!#REF!</definedName>
    <definedName name="Z_95B648C6_4E1C_4E9E_A32E_7BE29C11F1F2_.wvu.FilterData" localSheetId="0" hidden="1">'КСП РФ'!$A$4:$B$244</definedName>
    <definedName name="Z_95B648C6_4E1C_4E9E_A32E_7BE29C11F1F2_.wvu.Rows" localSheetId="0" hidden="1">'КСП РФ'!#REF!,'КСП РФ'!$14:$22,'КСП РФ'!$24:$40,'КСП РФ'!$42:$56,'КСП РФ'!$58:$77,'КСП РФ'!$79:$90,'КСП РФ'!$111:$121,'КСП РФ'!$123:$129,'КСП РФ'!$131:$142,'КСП РФ'!$144:$148,'КСП РФ'!$150:$165,'КСП РФ'!$167:$182,'КСП РФ'!$184:$189,'КСП РФ'!$191:$205,'КСП РФ'!$207:$214,'КСП РФ'!$216:$216,'КСП РФ'!$218:$226,'КСП РФ'!$228:$239</definedName>
    <definedName name="Z_973D004A_BA38_4020_A842_09183EE75B37_.wvu.FilterData" localSheetId="0" hidden="1">'КСП РФ'!$A$4:$B$239</definedName>
    <definedName name="Z_97511001_D06E_4865_A45C_D5EB9618B3A9_.wvu.FilterData" localSheetId="0" hidden="1">'КСП РФ'!$A$4:$B$244</definedName>
    <definedName name="Z_97E863C5_2C69_428B_9298_21C838EA495F_.wvu.FilterData" localSheetId="0" hidden="1">'КСП РФ'!$A$4:$B$244</definedName>
    <definedName name="Z_993025E3_63E0_4144_BA6E_BDA1F6CD4ADE_.wvu.FilterData" localSheetId="0" hidden="1">'КСП РФ'!$A$4:$B$239</definedName>
    <definedName name="Z_99FB48FD_8DEA_4627_AAFE_478E5EAB03DA_.wvu.FilterData" localSheetId="0" hidden="1">'КСП РФ'!$A$4:$B$239</definedName>
    <definedName name="Z_9C265007_0FB7_4422_B1F4_E91233E1183E_.wvu.FilterData" localSheetId="0" hidden="1">'КСП РФ'!$A$4:$B$244</definedName>
    <definedName name="Z_9D3CAC80_D343_4DB4_A564_E119480ECC69_.wvu.FilterData" localSheetId="0" hidden="1">'КСП РФ'!$A$4:$B$244</definedName>
    <definedName name="Z_9EEA5DD8_A6C3_4675_ADB0_C9D8FB9F2306_.wvu.FilterData" localSheetId="0" hidden="1">'КСП РФ'!$A$4:$B$244</definedName>
    <definedName name="Z_9F7623F9_AE5A_41A7_A009_F4BF644F3E71_.wvu.FilterData" localSheetId="0" hidden="1">'КСП РФ'!$A$4:$B$239</definedName>
    <definedName name="Z_9FAA0665_E993_499B_9CF7_7D5C48367939_.wvu.FilterData" localSheetId="0" hidden="1">'КСП РФ'!$A$4:$B$244</definedName>
    <definedName name="Z_A116D2F6_5AE5_4FAD_AECF_44EA00077BB6_.wvu.FilterData" localSheetId="0" hidden="1">'КСП РФ'!$A$4:$B$244</definedName>
    <definedName name="Z_A116D2F6_5AE5_4FAD_AECF_44EA00077BB6_.wvu.Rows" localSheetId="0" hidden="1">'КСП РФ'!#REF!,'КСП РФ'!$24:$40,'КСП РФ'!$42:$56,'КСП РФ'!$58:$77,'КСП РФ'!$79:$90,'КСП РФ'!$92:$109,'КСП РФ'!$111:$121,'КСП РФ'!$123:$129,'КСП РФ'!$131:$142,'КСП РФ'!$144:$148,'КСП РФ'!$167:$182,'КСП РФ'!$184:$189,'КСП РФ'!$191:$205,'КСП РФ'!$216:$216,'КСП РФ'!$218:$226</definedName>
    <definedName name="Z_A32FEF62_30B5_443F_8D69_40946A6B97AA_.wvu.FilterData" localSheetId="0" hidden="1">'КСП РФ'!$A$4:$B$239</definedName>
    <definedName name="Z_A4760F19_43AD_473B_B6DB_556F4F2FDCF5_.wvu.FilterData" localSheetId="0" hidden="1">'КСП РФ'!$A$4:$B$244</definedName>
    <definedName name="Z_A57C6BA4_B0AC_4FC9_B166_E51030B04DD4_.wvu.FilterData" localSheetId="0" hidden="1">'КСП РФ'!$A$4:$B$239</definedName>
    <definedName name="Z_A61047DC_CCF4_4857_9CC9_3592F35D2DD1_.wvu.FilterData" localSheetId="0" hidden="1">'КСП РФ'!$A$4:$B$239</definedName>
    <definedName name="Z_A6EFE47A_B997_4384_99C9_3F46EC919865_.wvu.FilterData" localSheetId="0" hidden="1">'КСП РФ'!$A$4:$B$239</definedName>
    <definedName name="Z_ADDC9843_AB79_4394_8849_187C427A1613_.wvu.FilterData" localSheetId="0" hidden="1">'КСП РФ'!$A$4:$B$239</definedName>
    <definedName name="Z_AFDC8785_9FAA_421A_B648_F6F04CC46778_.wvu.FilterData" localSheetId="0" hidden="1">'КСП РФ'!$A$4:$B$239</definedName>
    <definedName name="Z_B0DD6A18_FE7B_4A09_B692_B6C93025138E_.wvu.FilterData" localSheetId="0" hidden="1">'КСП РФ'!$A$4:$B$239</definedName>
    <definedName name="Z_B0DD96AF_F3F6_491E_B627_9FF31C89B5F3_.wvu.FilterData" localSheetId="0" hidden="1">'КСП РФ'!$A$4:$B$239</definedName>
    <definedName name="Z_B13FFFB8_69DD_41A5_8353_AE878A070AE8_.wvu.FilterData" localSheetId="0" hidden="1">'КСП РФ'!$A$4:$B$239</definedName>
    <definedName name="Z_B1550EC2_AD2C_45D3_B93E_4375079F9F93_.wvu.FilterData" localSheetId="0" hidden="1">'КСП РФ'!$A$4:$B$239</definedName>
    <definedName name="Z_B1843C4B_8E79_4405_A457_24850867862E_.wvu.FilterData" localSheetId="0" hidden="1">'КСП РФ'!$A$4:$B$239</definedName>
    <definedName name="Z_B4EB044E_6061_4516_B7A0_D96A80013966_.wvu.FilterData" localSheetId="0" hidden="1">'КСП РФ'!$A$4:$B$239</definedName>
    <definedName name="Z_B545C37F_746F_4E24_9C22_6497237A04B5_.wvu.FilterData" localSheetId="0" hidden="1">'КСП РФ'!$A$4:$B$239</definedName>
    <definedName name="Z_B6688E30_8AB9_4DBF_A32A_ECCE77F37818_.wvu.FilterData" localSheetId="0" hidden="1">'КСП РФ'!$A$4:$B$239</definedName>
    <definedName name="Z_BCE0BC47_3B9A_4E7B_96FF_127BC0C717A3_.wvu.FilterData" localSheetId="0" hidden="1">'КСП РФ'!$A$4:$B$244</definedName>
    <definedName name="Z_BDC7F83F_C323_4829_BB6A_67BF7E516D96_.wvu.FilterData" localSheetId="0" hidden="1">'КСП РФ'!$A$4:$B$244</definedName>
    <definedName name="Z_BF89DFFB_F281_4E4F_A874_CCF7FB1B9939_.wvu.FilterData" localSheetId="0" hidden="1">'КСП РФ'!$A$4:$B$239</definedName>
    <definedName name="Z_C016753E_E1E8_40C5_BFAA_DE625C01E0B0_.wvu.FilterData" localSheetId="0" hidden="1">'КСП РФ'!$A$4:$B$239</definedName>
    <definedName name="Z_C124F545_7577_456A_A9CE_D0F54194D3E8_.wvu.FilterData" localSheetId="0" hidden="1">'КСП РФ'!$A$4:$B$239</definedName>
    <definedName name="Z_C20F280E_8534_4C3C_88AF_C41B5C2BC93A_.wvu.FilterData" localSheetId="0" hidden="1">'КСП РФ'!$A$4:$B$244</definedName>
    <definedName name="Z_C2CAA227_E177_4180_BCBF_E1B7F8730E1D_.wvu.Cols" localSheetId="0" hidden="1">'КСП РФ'!$A:$A,'КСП РФ'!#REF!</definedName>
    <definedName name="Z_C2CAA227_E177_4180_BCBF_E1B7F8730E1D_.wvu.FilterData" localSheetId="0" hidden="1">'КСП РФ'!$A$4:$B$244</definedName>
    <definedName name="Z_C2CAA227_E177_4180_BCBF_E1B7F8730E1D_.wvu.Rows" localSheetId="0" hidden="1">'КСП РФ'!$3:$3,'КСП РФ'!$24:$40,'КСП РФ'!$42:$56,'КСП РФ'!$58:$77,'КСП РФ'!$79:$90,'КСП РФ'!$92:$109,'КСП РФ'!$111:$121,'КСП РФ'!$123:$129,'КСП РФ'!$131:$142,'КСП РФ'!$144:$148,'КСП РФ'!$150:$165,'КСП РФ'!$167:$182,'КСП РФ'!$184:$189,'КСП РФ'!$191:$205,'КСП РФ'!$207:$214,'КСП РФ'!$216:$216,'КСП РФ'!$218:$226,'КСП РФ'!$228:$239</definedName>
    <definedName name="Z_C4AA19C9_2A13_45CA_B832_6BEB73EEBDA2_.wvu.FilterData" localSheetId="0" hidden="1">'КСП РФ'!$A$4:$B$244</definedName>
    <definedName name="Z_C61E4F6A_833B_4198_909B_A702C449DE19_.wvu.FilterData" localSheetId="0" hidden="1">'КСП РФ'!$A$4:$B$239</definedName>
    <definedName name="Z_C6C6E84A_5BB7_4AB3_BEE7_383488F745C7_.wvu.FilterData" localSheetId="0" hidden="1">'КСП РФ'!$A$4:$B$239</definedName>
    <definedName name="Z_CBFD33B1_4237_4C14_88DF_C3F2CC936FE2_.wvu.FilterData" localSheetId="0" hidden="1">'КСП РФ'!$A$4:$B$239</definedName>
    <definedName name="Z_CD2AB356_46F1_463D_A951_1F1EB2FC9ACA_.wvu.Cols" localSheetId="0" hidden="1">'КСП РФ'!$A:$A,'КСП РФ'!#REF!,'КСП РФ'!#REF!,'КСП РФ'!#REF!,'КСП РФ'!$D:$D,'КСП РФ'!#REF!,'КСП РФ'!#REF!</definedName>
    <definedName name="Z_CD2AB356_46F1_463D_A951_1F1EB2FC9ACA_.wvu.FilterData" localSheetId="0" hidden="1">'КСП РФ'!$A$4:$D$240</definedName>
    <definedName name="Z_CD2AB356_46F1_463D_A951_1F1EB2FC9ACA_.wvu.Rows" localSheetId="0" hidden="1">'КСП РФ'!$14:$22,'КСП РФ'!$24:$40,'КСП РФ'!$42:$56,'КСП РФ'!$58:$77,'КСП РФ'!$79:$90,'КСП РФ'!$92:$109,'КСП РФ'!$111:$121,'КСП РФ'!$123:$129,'КСП РФ'!$131:$142,'КСП РФ'!$144:$148,'КСП РФ'!$150:$165,'КСП РФ'!$167:$182,'КСП РФ'!$184:$189,'КСП РФ'!$191:$205,'КСП РФ'!$207:$214,'КСП РФ'!$216:$216,'КСП РФ'!$218:$226,'КСП РФ'!$228:$239</definedName>
    <definedName name="Z_CF3E00ED_5CDE_40D5_9F83_FA695804B031_.wvu.FilterData" localSheetId="0" hidden="1">'КСП РФ'!$A$4:$B$239</definedName>
    <definedName name="Z_D2BADFF0_CD77_4656_84AB_879D51AC5FCA_.wvu.FilterData" localSheetId="0" hidden="1">'КСП РФ'!$A$4:$B$239</definedName>
    <definedName name="Z_D31DDCBA_5BE4_436F_911C_8303C2F49A97_.wvu.FilterData" localSheetId="0" hidden="1">'КСП РФ'!$A$4:$D$240</definedName>
    <definedName name="Z_D357B05F_1304_4B1A_8F7B_F570B74569EA_.wvu.FilterData" localSheetId="0" hidden="1">'КСП РФ'!$A$4:$B$239</definedName>
    <definedName name="Z_D45767D9_CAE0_4D54_A130_E576A46E53DA_.wvu.FilterData" localSheetId="0" hidden="1">'КСП РФ'!$A$4:$B$239</definedName>
    <definedName name="Z_D4E2F142_FC52_407E_BE2F_C0BD3B3C07BD_.wvu.FilterData" localSheetId="0" hidden="1">'КСП РФ'!$A$4:$B$239</definedName>
    <definedName name="Z_D977FC3C_CECB_4100_8DE1_EF153AB78BDF_.wvu.FilterData" localSheetId="0" hidden="1">'КСП РФ'!$A$4:$B$239</definedName>
    <definedName name="Z_DA8459E6_8926_498A_B80B_E4B92573809E_.wvu.FilterData" localSheetId="0" hidden="1">'КСП РФ'!$A$4:$B$239</definedName>
    <definedName name="Z_DAF28ED1_C0D5_420E_9544_2C41FD79C393_.wvu.FilterData" localSheetId="0" hidden="1">'КСП РФ'!$A$4:$B$239</definedName>
    <definedName name="Z_DAFA62EB_2100_4135_8398_E89D05DC10C3_.wvu.FilterData" localSheetId="0" hidden="1">'КСП РФ'!$A$4:$B$239</definedName>
    <definedName name="Z_DD638F43_4775_4D36_B0BC_08BC0F759D0A_.wvu.FilterData" localSheetId="0" hidden="1">'КСП РФ'!$A$4:$B$239</definedName>
    <definedName name="Z_DDF082E6_AFB2_4A0B_A850_B7699226D09B_.wvu.Cols" localSheetId="0" hidden="1">'КСП РФ'!$A:$A</definedName>
    <definedName name="Z_DDF082E6_AFB2_4A0B_A850_B7699226D09B_.wvu.FilterData" localSheetId="0" hidden="1">'КСП РФ'!$A$4:$B$244</definedName>
    <definedName name="Z_DDF082E6_AFB2_4A0B_A850_B7699226D09B_.wvu.Rows" localSheetId="0" hidden="1">'КСП РФ'!#REF!,'КСП РФ'!$14:$22,'КСП РФ'!$24:$40,'КСП РФ'!$42:$56,'КСП РФ'!$58:$77,'КСП РФ'!$79:$90,'КСП РФ'!$92:$109,'КСП РФ'!$111:$121,'КСП РФ'!$123:$129,'КСП РФ'!$131:$142,'КСП РФ'!$144:$148,'КСП РФ'!$150:$165,'КСП РФ'!$167:$182,'КСП РФ'!$184:$189,'КСП РФ'!$191:$205,'КСП РФ'!$207:$214,'КСП РФ'!$216:$216,'КСП РФ'!$218:$226,'КСП РФ'!$228:$239</definedName>
    <definedName name="Z_E05C42DC_FB58_406F_B2EF_44222F576A31_.wvu.FilterData" localSheetId="0" hidden="1">'КСП РФ'!$A$4:$B$244</definedName>
    <definedName name="Z_E121BD19_66E1_4E33_9CA6_B0F80BDBC78C_.wvu.FilterData" localSheetId="0" hidden="1">'КСП РФ'!$A$4:$B$239</definedName>
    <definedName name="Z_E192A54D_6CFB_4D8D_A4FD_ADAE03A23EAB_.wvu.FilterData" localSheetId="0" hidden="1">'КСП РФ'!$A$4:$B$244</definedName>
    <definedName name="Z_E3120C97_872E_476B_BEF0_43B798EFF12C_.wvu.FilterData" localSheetId="0" hidden="1">'КСП РФ'!$A$4:$B$239</definedName>
    <definedName name="Z_E41B8C48_F963_429F_9965_A73B1FA4717D_.wvu.FilterData" localSheetId="0" hidden="1">'КСП РФ'!$A$4:$B$239</definedName>
    <definedName name="Z_E4FF43A4_AF94_4A49_87D1_DAB15842BA3B_.wvu.FilterData" localSheetId="0" hidden="1">'КСП РФ'!$A$4:$B$244</definedName>
    <definedName name="Z_E500F8B7_B44B_4DB6_BF88_33E777527B48_.wvu.FilterData" localSheetId="0" hidden="1">'КСП РФ'!$A$4:$B$239</definedName>
    <definedName name="Z_E5B76E50_474F_4240_A345_B210B392D615_.wvu.FilterData" localSheetId="0" hidden="1">'КСП РФ'!$A$4:$B$239</definedName>
    <definedName name="Z_E5B87996_E876_4513_A287_A2E260FD1A9E_.wvu.Cols" localSheetId="0" hidden="1">'КСП РФ'!$A:$A,'КСП РФ'!#REF!,'КСП РФ'!#REF!,'КСП РФ'!$D:$D,'КСП РФ'!#REF!</definedName>
    <definedName name="Z_E5B87996_E876_4513_A287_A2E260FD1A9E_.wvu.FilterData" localSheetId="0" hidden="1">'КСП РФ'!$A$4:$B$244</definedName>
    <definedName name="Z_E5B87996_E876_4513_A287_A2E260FD1A9E_.wvu.Rows" localSheetId="0" hidden="1">'КСП РФ'!$3:$3,'КСП РФ'!$14:$22,'КСП РФ'!$24:$40,'КСП РФ'!$42:$56,'КСП РФ'!$92:$109,'КСП РФ'!$111:$121,'КСП РФ'!$123:$129,'КСП РФ'!$131:$142,'КСП РФ'!$144:$148,'КСП РФ'!$150:$165,'КСП РФ'!$167:$182,'КСП РФ'!$184:$189</definedName>
    <definedName name="Z_E86E8BEE_89C6_4FA7_9CA5_FA2EE1339004_.wvu.FilterData" localSheetId="0" hidden="1">'КСП РФ'!$A$4:$B$244</definedName>
    <definedName name="Z_E8D7A3B6_3D59_4BFD_AF42_FC7E1B08F9ED_.wvu.FilterData" localSheetId="0" hidden="1">'КСП РФ'!$A$4:$B$239</definedName>
    <definedName name="Z_ED6A7C20_EAA7_4D2B_BBAD_8B5658E707E0_.wvu.FilterData" localSheetId="0" hidden="1">'КСП РФ'!$A$4:$B$239</definedName>
    <definedName name="Z_EDBDE6C4_A230_4627_81B9_A81A61C93DB0_.wvu.FilterData" localSheetId="0" hidden="1">'КСП РФ'!$A$4:$B$239</definedName>
    <definedName name="Z_EDDEB653_18B9_470B_B49E_655F58A86B87_.wvu.FilterData" localSheetId="0" hidden="1">'КСП РФ'!$A$4:$B$244</definedName>
    <definedName name="Z_EEB95E50_6129_4F04_AA88_009F6D4B4A8F_.wvu.FilterData" localSheetId="0" hidden="1">'КСП РФ'!$A$4:$B$239</definedName>
    <definedName name="Z_EEEB43E6_6761_4907_AE72_8B816DE60782_.wvu.FilterData" localSheetId="0" hidden="1">'КСП РФ'!$A$4:$B$239</definedName>
    <definedName name="Z_F014E134_C23A_44A0_A08D_6C685F77BD4F_.wvu.FilterData" localSheetId="0" hidden="1">'КСП РФ'!$A$4:$B$239</definedName>
    <definedName name="Z_F28E9312_563B_495C_962B_178533BE07A4_.wvu.FilterData" localSheetId="0" hidden="1">'КСП РФ'!$A$4:$B$244</definedName>
    <definedName name="Z_F331C66E_9FCA_4F9D_A41C_A85E3A707867_.wvu.FilterData" localSheetId="0" hidden="1">'КСП РФ'!$A$4:$B$239</definedName>
    <definedName name="Z_F33762D2_F8FF_4859_BB25_56A8738A8DD0_.wvu.FilterData" localSheetId="0" hidden="1">'КСП РФ'!$A$4:$B$244</definedName>
    <definedName name="Z_F6B4DFD5_4584_4B81_9DEB_F59BE4DD2BEA_.wvu.FilterData" localSheetId="0" hidden="1">'КСП РФ'!$A$4:$B$239</definedName>
    <definedName name="Z_F6CE0E2F_2D2E_4977_9515_F98478F0BFA8_.wvu.FilterData" localSheetId="0" hidden="1">'КСП РФ'!$A$4:$B$244</definedName>
    <definedName name="Z_F908FD3A_9770_4E39_824E_E7BC18AE77BD_.wvu.FilterData" localSheetId="0" hidden="1">'КСП РФ'!$A$4:$B$239</definedName>
    <definedName name="Z_FB1F5E70_DDFB_459B_B3DD_F531D8DBB553_.wvu.FilterData" localSheetId="0" hidden="1">'КСП РФ'!$A$4:$B$239</definedName>
    <definedName name="Z_FF6EEFD8_990F_4021_97B4_060CA63B3A6C_.wvu.Cols" localSheetId="0" hidden="1">'КСП РФ'!$A:$A,'КСП РФ'!#REF!,'КСП РФ'!#REF!,'КСП РФ'!$D:$D,'КСП РФ'!#REF!</definedName>
    <definedName name="Z_FF6EEFD8_990F_4021_97B4_060CA63B3A6C_.wvu.FilterData" localSheetId="0" hidden="1">'КСП РФ'!$A$4:$B$244</definedName>
    <definedName name="Z_FF6EEFD8_990F_4021_97B4_060CA63B3A6C_.wvu.Rows" localSheetId="0" hidden="1">'КСП РФ'!$3:$3,'КСП РФ'!$14:$22,'КСП РФ'!$24:$40,'КСП РФ'!$42:$56,'КСП РФ'!$58:$77,'КСП РФ'!$79:$90,'КСП РФ'!$92:$109,'КСП РФ'!$111:$121,'КСП РФ'!$123:$129,'КСП РФ'!$131:$142,'КСП РФ'!$144:$148,'КСП РФ'!$150:$165,'КСП РФ'!$167:$182,'КСП РФ'!$184:$189,'КСП РФ'!$191:$205,'КСП РФ'!$207:$214,'КСП РФ'!$216:$216,'КСП РФ'!$218:$226,'КСП РФ'!$228:$239</definedName>
    <definedName name="_xlnm.Print_Area" localSheetId="0">'КСП РФ'!$B$1:$R$248</definedName>
  </definedNames>
  <calcPr fullCalcOnLoad="1"/>
</workbook>
</file>

<file path=xl/sharedStrings.xml><?xml version="1.0" encoding="utf-8"?>
<sst xmlns="http://schemas.openxmlformats.org/spreadsheetml/2006/main" count="492" uniqueCount="249">
  <si>
    <t>Муниципальный район</t>
  </si>
  <si>
    <t>Количество помещений</t>
  </si>
  <si>
    <t>5,55; 5,60</t>
  </si>
  <si>
    <t>3.1.Подведомственные учреждения ОМС</t>
  </si>
  <si>
    <t>МКП "Горэлектросеть"</t>
  </si>
  <si>
    <t>МКУ "Управление проектно-строительных работ"</t>
  </si>
  <si>
    <t>МУП "Аптека 126"</t>
  </si>
  <si>
    <t>МУП "Аптека 52"</t>
  </si>
  <si>
    <t>5,55; 5,6</t>
  </si>
  <si>
    <t>МУП БОНИБ "Белогорский"</t>
  </si>
  <si>
    <t>Бокситогорский муниципальный район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</si>
  <si>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</si>
  <si>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</si>
  <si>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</si>
  <si>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Лидское (Заборьевское + Подборовское) с.п.</t>
  </si>
  <si>
    <t>Климовское сельское поселение</t>
  </si>
  <si>
    <t>Пикалевское городское поселение</t>
  </si>
  <si>
    <t>Радогощинское сельское поселение</t>
  </si>
  <si>
    <t>Самойловское (+Анисимовское) с.п.</t>
  </si>
  <si>
    <t>Волосовский муниципальный район</t>
  </si>
  <si>
    <t>Волосовское городское поселение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</si>
  <si>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</si>
  <si>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</si>
  <si>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</si>
  <si>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</si>
  <si>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</si>
  <si>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</si>
  <si>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</si>
  <si>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</si>
  <si>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</si>
  <si>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</si>
  <si>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</si>
  <si>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</si>
  <si>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</si>
  <si>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</si>
  <si>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</si>
  <si>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</si>
  <si>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Бережковское сельское поселение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</si>
  <si>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</si>
  <si>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</si>
  <si>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</si>
  <si>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</si>
  <si>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</si>
  <si>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</si>
  <si>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</si>
  <si>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</si>
  <si>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</si>
  <si>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</si>
  <si>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</si>
  <si>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</si>
  <si>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</si>
  <si>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</si>
  <si>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Всеволожское городское поселение</t>
  </si>
  <si>
    <t>Агалатовское сельское поселение</t>
  </si>
  <si>
    <t>Бугровское сельское поселение</t>
  </si>
  <si>
    <t>Дубровское городское поселение</t>
  </si>
  <si>
    <t>Заневское сельское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</si>
  <si>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</si>
  <si>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</si>
  <si>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</si>
  <si>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</si>
  <si>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</si>
  <si>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</si>
  <si>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>Новодевяткинское сельское поселение</t>
  </si>
  <si>
    <t>Рахьинское городское поселение</t>
  </si>
  <si>
    <t>Романовское  сельское поселение</t>
  </si>
  <si>
    <t>Свердловское городское поселение</t>
  </si>
  <si>
    <t>Сертоловское городское поселение</t>
  </si>
  <si>
    <t>Токсовское городское поселение</t>
  </si>
  <si>
    <t>Щегловское сельское поселение</t>
  </si>
  <si>
    <t>Выборгский муниципальный район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</si>
  <si>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</si>
  <si>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</si>
  <si>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</si>
  <si>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</si>
  <si>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</si>
  <si>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</si>
  <si>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(плюс Глебычевское) г.п.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</si>
  <si>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</si>
  <si>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</si>
  <si>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</si>
  <si>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поселение</t>
  </si>
  <si>
    <t>Гатчинский муниципальный район</t>
  </si>
  <si>
    <t>Гатчинское городское поселение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</si>
  <si>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</si>
  <si>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</si>
  <si>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</si>
  <si>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</si>
  <si>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</si>
  <si>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</si>
  <si>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</si>
  <si>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Коммунарское городское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</si>
  <si>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</si>
  <si>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</si>
  <si>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</si>
  <si>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</si>
  <si>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</si>
  <si>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</si>
  <si>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</si>
  <si>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</si>
  <si>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</si>
  <si>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Кингисеппское городское поселение</t>
  </si>
  <si>
    <t>Большелуцкое сельское поселение</t>
  </si>
  <si>
    <t>Вистинское сельское поселение</t>
  </si>
  <si>
    <t>Ивангородское городское поселение</t>
  </si>
  <si>
    <t>Котельское сельское поселение</t>
  </si>
  <si>
    <t>Куземкинское сельское поселение</t>
  </si>
  <si>
    <t>Опольевское сельское поселение</t>
  </si>
  <si>
    <t>Пустомержское сельское поселение</t>
  </si>
  <si>
    <t>Устьлужское сельское поселение</t>
  </si>
  <si>
    <t>Фалилеевское сельское поселение</t>
  </si>
  <si>
    <t>Киришский муниципальный район</t>
  </si>
  <si>
    <t>Киришское городское поселение</t>
  </si>
  <si>
    <t>Будогощское городское поселение</t>
  </si>
  <si>
    <t>Глажевское сельское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</si>
  <si>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</si>
  <si>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</si>
  <si>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</si>
  <si>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</si>
  <si>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</si>
  <si>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</si>
  <si>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</si>
  <si>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</si>
  <si>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</si>
  <si>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</si>
  <si>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 сельское поселение</t>
  </si>
  <si>
    <t>Синявинское городское поселение</t>
  </si>
  <si>
    <t>Суховское 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</si>
  <si>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</si>
  <si>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</si>
  <si>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</si>
  <si>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 сельское поселение</t>
  </si>
  <si>
    <t>Доможировское  сельское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</si>
  <si>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</si>
  <si>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</si>
  <si>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</si>
  <si>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Аннинское сельское поселение</t>
  </si>
  <si>
    <t>Большеижорское городское поселение</t>
  </si>
  <si>
    <t>Виллозское сельское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</si>
  <si>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</si>
  <si>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</si>
  <si>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</si>
  <si>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</si>
  <si>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</si>
  <si>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</si>
  <si>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</si>
  <si>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</si>
  <si>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</si>
  <si>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</si>
  <si>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</si>
  <si>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</si>
  <si>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</si>
  <si>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Лужское городское поселение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</si>
  <si>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</si>
  <si>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</si>
  <si>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</si>
  <si>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</si>
  <si>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</si>
  <si>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</si>
  <si>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</si>
  <si>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</si>
  <si>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</si>
  <si>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</si>
  <si>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Тесовское сельское поселение</t>
  </si>
  <si>
    <t>Толмачевское городское поселение</t>
  </si>
  <si>
    <t>Торковичское сельское поселение</t>
  </si>
  <si>
    <t>Ям-Тесовское сельское поселение</t>
  </si>
  <si>
    <t>Подпорожский муниципальный район</t>
  </si>
  <si>
    <t>Подпорожское городское поселение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</si>
  <si>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</si>
  <si>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</si>
  <si>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</si>
  <si>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</si>
  <si>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Приозерский муниципальный район</t>
  </si>
  <si>
    <t>Приозерское городское поселение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</si>
  <si>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</si>
  <si>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</si>
  <si>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</si>
  <si>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</si>
  <si>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</si>
  <si>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</si>
  <si>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</si>
  <si>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</si>
  <si>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</si>
  <si>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</si>
  <si>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</si>
  <si>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</si>
  <si>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</si>
  <si>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</si>
  <si>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Сланцевское городское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</si>
  <si>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</si>
  <si>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</si>
  <si>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</si>
  <si>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</si>
  <si>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</si>
  <si>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Черновское сельское поселение</t>
  </si>
  <si>
    <t>Сосновоборский городской округ</t>
  </si>
  <si>
    <t>Тихвинский муниципальный район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</si>
  <si>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</si>
  <si>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</si>
  <si>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</si>
  <si>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</si>
  <si>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</si>
  <si>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Цвылевское сельское поселение</t>
  </si>
  <si>
    <t>Шугозерское сельское поселение</t>
  </si>
  <si>
    <t>Тосненский муниципальный район</t>
  </si>
  <si>
    <t>Тосненское городское поселение</t>
  </si>
  <si>
    <t>5,55; 6,00; 7,60</t>
  </si>
  <si>
    <t>Красноборское сельское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</si>
  <si>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</si>
  <si>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</si>
  <si>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</si>
  <si>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</si>
  <si>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</si>
  <si>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</si>
  <si>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</si>
  <si>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</si>
  <si>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Шапкинское сельское поселение</t>
  </si>
  <si>
    <t>(тыс. рублей)</t>
  </si>
  <si>
    <t>Размер взноса на капремонт на 1 кв. м.                                    в 2016 году -5,55</t>
  </si>
  <si>
    <t>Объем бюджетных ассигнований, предусмотренных сводной бюджетной росписью</t>
  </si>
  <si>
    <t>Примечание</t>
  </si>
  <si>
    <t>на уплату взносов на кап ремонт</t>
  </si>
  <si>
    <t>% исполнения к СБР</t>
  </si>
  <si>
    <t>-</t>
  </si>
  <si>
    <t xml:space="preserve">        3.2. Администрации муниципальных образований </t>
  </si>
  <si>
    <t>Юкковское сельское поселение*</t>
  </si>
  <si>
    <t>приложение 2</t>
  </si>
  <si>
    <t>Информация об уплате взносов на капитальный ремонт и пени за их несвоевременную и(или) уплату по помещениям, расположенным в многоквартирных домах и находящихся в оперативном управлении или на праве хозяйственного ведения органов местного самоуправления и (или) подведомственных учреждений и организаций</t>
  </si>
  <si>
    <t>Объем бюджетных ассигнований, предусмотренных законом (решением) о бюджете на 2016 год</t>
  </si>
  <si>
    <t>раздел, подраздел</t>
  </si>
  <si>
    <t>КЦСР</t>
  </si>
  <si>
    <t xml:space="preserve">КВР </t>
  </si>
  <si>
    <t>КОСГУ</t>
  </si>
  <si>
    <t>КБК расходов бюджета</t>
  </si>
  <si>
    <t>Наименование МО -собственника жилых помещений в многоквартирных домах</t>
  </si>
  <si>
    <t>в том числе по поселениям:</t>
  </si>
  <si>
    <t>Всего по муниципальному образованию</t>
  </si>
  <si>
    <t>на уплату пени (штрафов)</t>
  </si>
  <si>
    <t>Площадь помещений  на 01.01.2017г..,                                 (тыс.  кв.м.)</t>
  </si>
  <si>
    <t>Кассовое исполнение по состоянию на 01 января 2017 года</t>
  </si>
  <si>
    <t xml:space="preserve">Рождественское СП </t>
  </si>
  <si>
    <t>Оплата произведена за 2016 год включительно, экономию составляют  приватиз квартир</t>
  </si>
  <si>
    <t>0501</t>
  </si>
  <si>
    <t>00</t>
  </si>
  <si>
    <t>5300000</t>
  </si>
  <si>
    <t>74,60</t>
  </si>
  <si>
    <t>Глава администрации                                    С А Букашкин                             Главный бухгалтер                                       Л А Перова</t>
  </si>
  <si>
    <t>Исп Петрова Л А тел 88137162142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</si>
</sst>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rgb="FF000000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39" fillId="0" borderId="10" xfId="0" applyNumberFormat="1" applyFont="1" applyFill="1" applyBorder="1" applyAlignment="1" applyProtection="1">
      <alignment horizontal="center" vertical="center"/>
      <protection/>
    </xf>
    <xf numFmtId="49" fontId="39" fillId="0" borderId="11" xfId="0" applyNumberFormat="1" applyFont="1" applyFill="1" applyBorder="1" applyAlignment="1" applyProtection="1">
      <alignment horizontal="center" vertical="center"/>
      <protection/>
    </xf>
    <xf numFmtId="49" fontId="39" fillId="0" borderId="12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Alignment="1">
      <alignment/>
    </xf>
    <xf numFmtId="49" fontId="40" fillId="0" borderId="13" xfId="0" applyNumberFormat="1" applyFont="1" applyFill="1" applyBorder="1" applyAlignment="1" applyProtection="1">
      <alignment vertical="center"/>
      <protection/>
    </xf>
    <xf numFmtId="4" fontId="41" fillId="0" borderId="14" xfId="0" applyNumberFormat="1" applyFont="1" applyFill="1" applyBorder="1" applyAlignment="1">
      <alignment horizontal="center"/>
    </xf>
    <xf numFmtId="4" fontId="40" fillId="0" borderId="14" xfId="0" applyNumberFormat="1" applyFont="1" applyFill="1" applyBorder="1" applyAlignment="1" applyProtection="1">
      <alignment horizontal="center" vertical="center"/>
      <protection/>
    </xf>
    <xf numFmtId="4" fontId="40" fillId="0" borderId="14" xfId="0" applyNumberFormat="1" applyFont="1" applyFill="1" applyBorder="1" applyAlignment="1" applyProtection="1">
      <alignment horizontal="center" vertical="center" wrapText="1"/>
      <protection/>
    </xf>
    <xf numFmtId="49" fontId="40" fillId="33" borderId="13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49" fontId="39" fillId="0" borderId="13" xfId="0" applyNumberFormat="1" applyFont="1" applyFill="1" applyBorder="1" applyAlignment="1" applyProtection="1">
      <alignment vertical="center"/>
      <protection/>
    </xf>
    <xf numFmtId="4" fontId="40" fillId="0" borderId="14" xfId="0" applyNumberFormat="1" applyFont="1" applyFill="1" applyBorder="1" applyAlignment="1" applyProtection="1">
      <alignment horizontal="center" vertical="center" wrapText="1"/>
      <protection/>
    </xf>
    <xf numFmtId="49" fontId="40" fillId="0" borderId="15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Alignment="1">
      <alignment/>
    </xf>
    <xf numFmtId="49" fontId="42" fillId="0" borderId="0" xfId="0" applyNumberFormat="1" applyFont="1" applyFill="1" applyAlignment="1">
      <alignment/>
    </xf>
    <xf numFmtId="0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0" fontId="41" fillId="0" borderId="16" xfId="0" applyNumberFormat="1" applyFont="1" applyFill="1" applyBorder="1" applyAlignment="1">
      <alignment horizontal="center" vertical="center" wrapText="1"/>
    </xf>
    <xf numFmtId="4" fontId="41" fillId="0" borderId="16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0" fontId="41" fillId="0" borderId="18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 applyProtection="1">
      <alignment horizontal="center" vertical="center" wrapText="1"/>
      <protection/>
    </xf>
    <xf numFmtId="4" fontId="41" fillId="0" borderId="16" xfId="0" applyNumberFormat="1" applyFont="1" applyFill="1" applyBorder="1" applyAlignment="1">
      <alignment horizontal="center"/>
    </xf>
    <xf numFmtId="4" fontId="41" fillId="0" borderId="20" xfId="0" applyNumberFormat="1" applyFont="1" applyFill="1" applyBorder="1" applyAlignment="1">
      <alignment horizontal="center"/>
    </xf>
    <xf numFmtId="49" fontId="39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>
      <alignment horizontal="right"/>
    </xf>
    <xf numFmtId="0" fontId="43" fillId="0" borderId="0" xfId="0" applyNumberFormat="1" applyFont="1" applyFill="1" applyBorder="1" applyAlignment="1">
      <alignment wrapText="1"/>
    </xf>
    <xf numFmtId="49" fontId="39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42" fillId="0" borderId="17" xfId="0" applyNumberFormat="1" applyFont="1" applyFill="1" applyBorder="1" applyAlignment="1">
      <alignment horizontal="center" vertical="center" wrapText="1"/>
    </xf>
    <xf numFmtId="4" fontId="42" fillId="0" borderId="18" xfId="0" applyNumberFormat="1" applyFont="1" applyFill="1" applyBorder="1" applyAlignment="1">
      <alignment horizontal="center" vertical="center" wrapText="1"/>
    </xf>
    <xf numFmtId="4" fontId="42" fillId="0" borderId="23" xfId="0" applyNumberFormat="1" applyFont="1" applyFill="1" applyBorder="1" applyAlignment="1">
      <alignment horizontal="center" vertical="center" wrapText="1"/>
    </xf>
    <xf numFmtId="3" fontId="41" fillId="0" borderId="18" xfId="0" applyNumberFormat="1" applyFont="1" applyFill="1" applyBorder="1" applyAlignment="1">
      <alignment horizontal="center" vertical="center" wrapText="1"/>
    </xf>
    <xf numFmtId="3" fontId="41" fillId="0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41" fillId="0" borderId="16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41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0" fontId="41" fillId="0" borderId="17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3" fontId="42" fillId="0" borderId="23" xfId="0" applyNumberFormat="1" applyFont="1" applyFill="1" applyBorder="1" applyAlignment="1">
      <alignment horizontal="center" vertical="center" wrapText="1"/>
    </xf>
    <xf numFmtId="4" fontId="42" fillId="0" borderId="18" xfId="0" applyNumberFormat="1" applyFont="1" applyFill="1" applyBorder="1" applyAlignment="1">
      <alignment horizontal="center"/>
    </xf>
    <xf numFmtId="49" fontId="39" fillId="0" borderId="25" xfId="0" applyNumberFormat="1" applyFont="1" applyFill="1" applyBorder="1" applyAlignment="1" applyProtection="1">
      <alignment vertical="center"/>
      <protection/>
    </xf>
    <xf numFmtId="3" fontId="42" fillId="0" borderId="18" xfId="0" applyNumberFormat="1" applyFont="1" applyFill="1" applyBorder="1" applyAlignment="1">
      <alignment horizontal="center"/>
    </xf>
    <xf numFmtId="49" fontId="40" fillId="0" borderId="26" xfId="0" applyNumberFormat="1" applyFont="1" applyFill="1" applyBorder="1" applyAlignment="1" applyProtection="1">
      <alignment vertical="center"/>
      <protection/>
    </xf>
    <xf numFmtId="3" fontId="41" fillId="0" borderId="14" xfId="0" applyNumberFormat="1" applyFont="1" applyFill="1" applyBorder="1" applyAlignment="1">
      <alignment horizontal="center"/>
    </xf>
    <xf numFmtId="49" fontId="40" fillId="0" borderId="26" xfId="0" applyNumberFormat="1" applyFont="1" applyFill="1" applyBorder="1" applyAlignment="1" applyProtection="1">
      <alignment vertical="center" wrapText="1"/>
      <protection/>
    </xf>
    <xf numFmtId="4" fontId="42" fillId="0" borderId="14" xfId="0" applyNumberFormat="1" applyFont="1" applyFill="1" applyBorder="1" applyAlignment="1">
      <alignment horizontal="center"/>
    </xf>
    <xf numFmtId="49" fontId="39" fillId="0" borderId="26" xfId="0" applyNumberFormat="1" applyFont="1" applyFill="1" applyBorder="1" applyAlignment="1" applyProtection="1">
      <alignment vertical="center"/>
      <protection/>
    </xf>
    <xf numFmtId="3" fontId="42" fillId="0" borderId="14" xfId="0" applyNumberFormat="1" applyFont="1" applyFill="1" applyBorder="1" applyAlignment="1">
      <alignment horizontal="center"/>
    </xf>
    <xf numFmtId="49" fontId="40" fillId="0" borderId="2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4" fontId="44" fillId="0" borderId="14" xfId="0" applyNumberFormat="1" applyFont="1" applyFill="1" applyBorder="1" applyAlignment="1" applyProtection="1">
      <alignment horizontal="center"/>
      <protection/>
    </xf>
    <xf numFmtId="3" fontId="44" fillId="0" borderId="14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Fill="1" applyBorder="1" applyAlignment="1">
      <alignment/>
    </xf>
    <xf numFmtId="49" fontId="0" fillId="0" borderId="24" xfId="0" applyNumberFormat="1" applyFill="1" applyBorder="1" applyAlignment="1">
      <alignment/>
    </xf>
    <xf numFmtId="49" fontId="40" fillId="0" borderId="27" xfId="0" applyNumberFormat="1" applyFont="1" applyFill="1" applyBorder="1" applyAlignment="1" applyProtection="1">
      <alignment vertical="center"/>
      <protection/>
    </xf>
    <xf numFmtId="3" fontId="41" fillId="0" borderId="16" xfId="0" applyNumberFormat="1" applyFont="1" applyFill="1" applyBorder="1" applyAlignment="1">
      <alignment horizontal="center"/>
    </xf>
    <xf numFmtId="49" fontId="45" fillId="0" borderId="16" xfId="0" applyNumberFormat="1" applyFont="1" applyFill="1" applyBorder="1" applyAlignment="1">
      <alignment/>
    </xf>
    <xf numFmtId="49" fontId="30" fillId="0" borderId="28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49" fontId="30" fillId="0" borderId="17" xfId="0" applyNumberFormat="1" applyFont="1" applyFill="1" applyBorder="1" applyAlignment="1">
      <alignment/>
    </xf>
    <xf numFmtId="4" fontId="0" fillId="0" borderId="17" xfId="0" applyNumberForma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3" fontId="41" fillId="0" borderId="20" xfId="0" applyNumberFormat="1" applyFont="1" applyFill="1" applyBorder="1" applyAlignment="1">
      <alignment horizontal="center"/>
    </xf>
    <xf numFmtId="49" fontId="45" fillId="0" borderId="20" xfId="0" applyNumberFormat="1" applyFont="1" applyFill="1" applyBorder="1" applyAlignment="1">
      <alignment/>
    </xf>
    <xf numFmtId="49" fontId="45" fillId="0" borderId="29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4" fontId="42" fillId="0" borderId="2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 applyProtection="1">
      <alignment vertical="center"/>
      <protection/>
    </xf>
    <xf numFmtId="4" fontId="42" fillId="0" borderId="30" xfId="0" applyNumberFormat="1" applyFont="1" applyFill="1" applyBorder="1" applyAlignment="1">
      <alignment horizontal="center" vertical="center" wrapText="1"/>
    </xf>
    <xf numFmtId="4" fontId="41" fillId="0" borderId="25" xfId="0" applyNumberFormat="1" applyFont="1" applyFill="1" applyBorder="1" applyAlignment="1">
      <alignment horizontal="center" vertical="center" wrapText="1"/>
    </xf>
    <xf numFmtId="4" fontId="41" fillId="0" borderId="26" xfId="0" applyNumberFormat="1" applyFont="1" applyFill="1" applyBorder="1" applyAlignment="1">
      <alignment horizontal="center" vertical="center" wrapText="1"/>
    </xf>
    <xf numFmtId="4" fontId="41" fillId="0" borderId="27" xfId="0" applyNumberFormat="1" applyFont="1" applyFill="1" applyBorder="1" applyAlignment="1">
      <alignment horizontal="center" vertical="center" wrapText="1"/>
    </xf>
    <xf numFmtId="4" fontId="42" fillId="0" borderId="25" xfId="0" applyNumberFormat="1" applyFont="1" applyFill="1" applyBorder="1" applyAlignment="1">
      <alignment horizontal="center"/>
    </xf>
    <xf numFmtId="4" fontId="40" fillId="0" borderId="26" xfId="0" applyNumberFormat="1" applyFont="1" applyFill="1" applyBorder="1" applyAlignment="1" applyProtection="1">
      <alignment horizontal="center" vertical="center"/>
      <protection/>
    </xf>
    <xf numFmtId="4" fontId="40" fillId="0" borderId="26" xfId="0" applyNumberFormat="1" applyFont="1" applyFill="1" applyBorder="1" applyAlignment="1" applyProtection="1">
      <alignment horizontal="center" vertical="center" wrapText="1"/>
      <protection/>
    </xf>
    <xf numFmtId="4" fontId="42" fillId="0" borderId="26" xfId="0" applyNumberFormat="1" applyFont="1" applyFill="1" applyBorder="1" applyAlignment="1">
      <alignment horizontal="center"/>
    </xf>
    <xf numFmtId="4" fontId="40" fillId="0" borderId="26" xfId="0" applyNumberFormat="1" applyFont="1" applyFill="1" applyBorder="1" applyAlignment="1" applyProtection="1">
      <alignment horizontal="center" vertical="center" wrapText="1"/>
      <protection/>
    </xf>
    <xf numFmtId="4" fontId="44" fillId="0" borderId="26" xfId="0" applyNumberFormat="1" applyFont="1" applyFill="1" applyBorder="1" applyAlignment="1" applyProtection="1">
      <alignment horizontal="center"/>
      <protection/>
    </xf>
    <xf numFmtId="49" fontId="45" fillId="0" borderId="27" xfId="0" applyNumberFormat="1" applyFont="1" applyFill="1" applyBorder="1" applyAlignment="1">
      <alignment/>
    </xf>
    <xf numFmtId="49" fontId="30" fillId="0" borderId="30" xfId="0" applyNumberFormat="1" applyFont="1" applyFill="1" applyBorder="1" applyAlignment="1">
      <alignment/>
    </xf>
    <xf numFmtId="4" fontId="42" fillId="0" borderId="19" xfId="0" applyNumberFormat="1" applyFont="1" applyFill="1" applyBorder="1" applyAlignment="1">
      <alignment horizontal="center" vertical="center" wrapText="1"/>
    </xf>
    <xf numFmtId="4" fontId="41" fillId="0" borderId="31" xfId="0" applyNumberFormat="1" applyFont="1" applyFill="1" applyBorder="1" applyAlignment="1">
      <alignment horizontal="center" vertical="center" wrapText="1"/>
    </xf>
    <xf numFmtId="4" fontId="41" fillId="0" borderId="32" xfId="0" applyNumberFormat="1" applyFont="1" applyFill="1" applyBorder="1" applyAlignment="1">
      <alignment horizontal="center" vertical="center" wrapText="1"/>
    </xf>
    <xf numFmtId="4" fontId="41" fillId="0" borderId="33" xfId="0" applyNumberFormat="1" applyFont="1" applyFill="1" applyBorder="1" applyAlignment="1">
      <alignment horizontal="center" vertical="center" wrapText="1"/>
    </xf>
    <xf numFmtId="4" fontId="42" fillId="0" borderId="31" xfId="0" applyNumberFormat="1" applyFont="1" applyFill="1" applyBorder="1" applyAlignment="1">
      <alignment horizontal="center"/>
    </xf>
    <xf numFmtId="4" fontId="40" fillId="0" borderId="32" xfId="0" applyNumberFormat="1" applyFont="1" applyFill="1" applyBorder="1" applyAlignment="1" applyProtection="1">
      <alignment horizontal="center" vertical="center"/>
      <protection/>
    </xf>
    <xf numFmtId="4" fontId="40" fillId="0" borderId="32" xfId="0" applyNumberFormat="1" applyFont="1" applyFill="1" applyBorder="1" applyAlignment="1" applyProtection="1">
      <alignment horizontal="center" vertical="center" wrapText="1"/>
      <protection/>
    </xf>
    <xf numFmtId="4" fontId="42" fillId="0" borderId="32" xfId="0" applyNumberFormat="1" applyFont="1" applyFill="1" applyBorder="1" applyAlignment="1">
      <alignment horizontal="center"/>
    </xf>
    <xf numFmtId="4" fontId="40" fillId="0" borderId="32" xfId="0" applyNumberFormat="1" applyFont="1" applyFill="1" applyBorder="1" applyAlignment="1" applyProtection="1">
      <alignment horizontal="center" vertical="center" wrapText="1"/>
      <protection/>
    </xf>
    <xf numFmtId="4" fontId="44" fillId="0" borderId="32" xfId="0" applyNumberFormat="1" applyFont="1" applyFill="1" applyBorder="1" applyAlignment="1" applyProtection="1">
      <alignment horizontal="center"/>
      <protection/>
    </xf>
    <xf numFmtId="49" fontId="45" fillId="0" borderId="33" xfId="0" applyNumberFormat="1" applyFont="1" applyFill="1" applyBorder="1" applyAlignment="1">
      <alignment/>
    </xf>
    <xf numFmtId="49" fontId="45" fillId="0" borderId="34" xfId="0" applyNumberFormat="1" applyFont="1" applyFill="1" applyBorder="1" applyAlignment="1">
      <alignment/>
    </xf>
    <xf numFmtId="49" fontId="30" fillId="0" borderId="19" xfId="0" applyNumberFormat="1" applyFont="1" applyFill="1" applyBorder="1" applyAlignment="1">
      <alignment/>
    </xf>
    <xf numFmtId="49" fontId="42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/>
    </xf>
    <xf numFmtId="49" fontId="4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43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39" fillId="0" borderId="35" xfId="0" applyNumberFormat="1" applyFont="1" applyFill="1" applyBorder="1" applyAlignment="1" applyProtection="1">
      <alignment vertical="center" wrapText="1"/>
      <protection/>
    </xf>
    <xf numFmtId="0" fontId="0" fillId="0" borderId="36" xfId="0" applyBorder="1" applyAlignment="1">
      <alignment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0" fillId="33" borderId="35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39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3" fillId="0" borderId="41" xfId="0" applyNumberFormat="1" applyFont="1" applyFill="1" applyBorder="1" applyAlignment="1">
      <alignment horizontal="right" wrapText="1"/>
    </xf>
    <xf numFmtId="0" fontId="0" fillId="0" borderId="4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outlinePr summaryBelow="0"/>
    <pageSetUpPr fitToPage="1"/>
  </sheetPr>
  <dimension ref="A1:R250"/>
  <sheetViews>
    <sheetView tabSelected="1" zoomScale="69" zoomScaleNormal="69" zoomScalePageLayoutView="0" workbookViewId="0" topLeftCell="B1">
      <selection activeCell="B250" sqref="B250"/>
    </sheetView>
  </sheetViews>
  <sheetFormatPr defaultColWidth="9.140625" defaultRowHeight="15" outlineLevelRow="2"/>
  <cols>
    <col min="1" max="1" width="10.421875" style="17" hidden="1" customWidth="1"/>
    <col min="2" max="2" width="33.57421875" style="17" customWidth="1"/>
    <col min="3" max="3" width="16.7109375" style="30" customWidth="1"/>
    <col min="4" max="4" width="16.7109375" style="17" customWidth="1"/>
    <col min="5" max="5" width="0.2890625" style="17" customWidth="1"/>
    <col min="6" max="6" width="13.57421875" style="17" customWidth="1"/>
    <col min="7" max="7" width="15.7109375" style="17" customWidth="1"/>
    <col min="8" max="8" width="13.57421875" style="17" customWidth="1"/>
    <col min="9" max="9" width="15.57421875" style="17" customWidth="1"/>
    <col min="10" max="10" width="16.7109375" style="17" customWidth="1"/>
    <col min="11" max="11" width="16.57421875" style="17" customWidth="1"/>
    <col min="12" max="12" width="16.00390625" style="17" customWidth="1"/>
    <col min="13" max="17" width="18.7109375" style="17" customWidth="1"/>
    <col min="18" max="18" width="20.8515625" style="17" customWidth="1"/>
    <col min="19" max="16384" width="9.140625" style="3" customWidth="1"/>
  </cols>
  <sheetData>
    <row r="1" ht="18.75">
      <c r="R1" s="78" t="s">
        <v>227</v>
      </c>
    </row>
    <row r="2" spans="1:18" s="2" customFormat="1" ht="38.25" customHeight="1">
      <c r="A2" s="1"/>
      <c r="B2" s="17"/>
      <c r="C2" s="30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91.5" customHeight="1" thickBot="1">
      <c r="A3" s="1"/>
      <c r="B3" s="110" t="s">
        <v>228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ht="58.5" customHeight="1" thickBot="1">
      <c r="A4" s="4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130" t="s">
        <v>218</v>
      </c>
      <c r="R4" s="131"/>
    </row>
    <row r="5" spans="1:18" ht="90" customHeight="1" thickBot="1">
      <c r="A5" s="32"/>
      <c r="B5" s="112" t="s">
        <v>235</v>
      </c>
      <c r="C5" s="114" t="s">
        <v>1</v>
      </c>
      <c r="D5" s="116" t="s">
        <v>239</v>
      </c>
      <c r="E5" s="118" t="s">
        <v>219</v>
      </c>
      <c r="F5" s="128" t="s">
        <v>234</v>
      </c>
      <c r="G5" s="128"/>
      <c r="H5" s="128"/>
      <c r="I5" s="129"/>
      <c r="J5" s="120" t="s">
        <v>229</v>
      </c>
      <c r="K5" s="121"/>
      <c r="L5" s="122" t="s">
        <v>220</v>
      </c>
      <c r="M5" s="123"/>
      <c r="N5" s="124" t="s">
        <v>240</v>
      </c>
      <c r="O5" s="125"/>
      <c r="P5" s="125"/>
      <c r="Q5" s="125"/>
      <c r="R5" s="126" t="s">
        <v>221</v>
      </c>
    </row>
    <row r="6" spans="1:18" ht="90" customHeight="1" thickBot="1">
      <c r="A6" s="5"/>
      <c r="B6" s="113"/>
      <c r="C6" s="115"/>
      <c r="D6" s="117"/>
      <c r="E6" s="119"/>
      <c r="F6" s="33" t="s">
        <v>230</v>
      </c>
      <c r="G6" s="33" t="s">
        <v>231</v>
      </c>
      <c r="H6" s="33" t="s">
        <v>232</v>
      </c>
      <c r="I6" s="33" t="s">
        <v>233</v>
      </c>
      <c r="J6" s="26" t="s">
        <v>222</v>
      </c>
      <c r="K6" s="26" t="s">
        <v>238</v>
      </c>
      <c r="L6" s="26" t="s">
        <v>222</v>
      </c>
      <c r="M6" s="26" t="s">
        <v>238</v>
      </c>
      <c r="N6" s="26" t="s">
        <v>222</v>
      </c>
      <c r="O6" s="26" t="s">
        <v>223</v>
      </c>
      <c r="P6" s="26" t="s">
        <v>238</v>
      </c>
      <c r="Q6" s="29" t="s">
        <v>223</v>
      </c>
      <c r="R6" s="127"/>
    </row>
    <row r="7" spans="1:18" ht="55.5" customHeight="1" collapsed="1" thickBot="1">
      <c r="A7" s="5"/>
      <c r="B7" s="34" t="s">
        <v>241</v>
      </c>
      <c r="C7" s="35">
        <v>195</v>
      </c>
      <c r="D7" s="23">
        <v>8820.12</v>
      </c>
      <c r="E7" s="23"/>
      <c r="F7" s="106" t="s">
        <v>243</v>
      </c>
      <c r="G7" s="106">
        <v>7131316400</v>
      </c>
      <c r="H7" s="106">
        <v>244</v>
      </c>
      <c r="I7" s="106">
        <v>225</v>
      </c>
      <c r="J7" s="23">
        <v>530000</v>
      </c>
      <c r="K7" s="23">
        <v>0</v>
      </c>
      <c r="L7" s="23">
        <v>530000</v>
      </c>
      <c r="M7" s="23">
        <v>0</v>
      </c>
      <c r="N7" s="23">
        <v>395562.63</v>
      </c>
      <c r="O7" s="23">
        <v>74.6</v>
      </c>
      <c r="P7" s="23"/>
      <c r="Q7" s="81"/>
      <c r="R7" s="93" t="s">
        <v>242</v>
      </c>
    </row>
    <row r="8" spans="1:18" ht="30.75" customHeight="1" hidden="1" outlineLevel="1" collapsed="1" thickBot="1">
      <c r="A8" s="5"/>
      <c r="B8" s="34" t="s">
        <v>3</v>
      </c>
      <c r="C8" s="35">
        <f>SUM(C9:C13)</f>
        <v>6</v>
      </c>
      <c r="D8" s="23">
        <f>SUM(D9:D13)</f>
        <v>1.3189</v>
      </c>
      <c r="E8" s="23"/>
      <c r="F8" s="79"/>
      <c r="G8" s="79"/>
      <c r="H8" s="79"/>
      <c r="I8" s="79"/>
      <c r="J8" s="25"/>
      <c r="K8" s="25"/>
      <c r="L8" s="25"/>
      <c r="M8" s="25"/>
      <c r="N8" s="25"/>
      <c r="O8" s="25"/>
      <c r="P8" s="25"/>
      <c r="Q8" s="82"/>
      <c r="R8" s="94"/>
    </row>
    <row r="9" spans="1:18" ht="21.75" customHeight="1" hidden="1" outlineLevel="2">
      <c r="A9" s="5"/>
      <c r="B9" s="43" t="s">
        <v>4</v>
      </c>
      <c r="C9" s="38">
        <v>2</v>
      </c>
      <c r="D9" s="25">
        <f>531.2/1000</f>
        <v>0.5312</v>
      </c>
      <c r="E9" s="24">
        <v>5.55</v>
      </c>
      <c r="F9" s="24"/>
      <c r="G9" s="24"/>
      <c r="H9" s="24"/>
      <c r="I9" s="24"/>
      <c r="J9" s="20"/>
      <c r="K9" s="20"/>
      <c r="L9" s="20"/>
      <c r="M9" s="20"/>
      <c r="N9" s="20"/>
      <c r="O9" s="20"/>
      <c r="P9" s="20"/>
      <c r="Q9" s="83"/>
      <c r="R9" s="95"/>
    </row>
    <row r="10" spans="1:18" ht="21.75" customHeight="1" hidden="1" outlineLevel="2">
      <c r="A10" s="5"/>
      <c r="B10" s="40" t="s">
        <v>5</v>
      </c>
      <c r="C10" s="39">
        <v>1</v>
      </c>
      <c r="D10" s="20">
        <f>226.7/1000</f>
        <v>0.22669999999999998</v>
      </c>
      <c r="E10" s="19">
        <v>5.55</v>
      </c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0"/>
      <c r="Q10" s="83"/>
      <c r="R10" s="95"/>
    </row>
    <row r="11" spans="1:18" ht="21.75" customHeight="1" hidden="1" outlineLevel="2">
      <c r="A11" s="5"/>
      <c r="B11" s="40" t="s">
        <v>6</v>
      </c>
      <c r="C11" s="39">
        <v>1</v>
      </c>
      <c r="D11" s="20">
        <f>163.4/1000</f>
        <v>0.16340000000000002</v>
      </c>
      <c r="E11" s="19">
        <v>5.55</v>
      </c>
      <c r="F11" s="19"/>
      <c r="G11" s="19"/>
      <c r="H11" s="19"/>
      <c r="I11" s="19"/>
      <c r="J11" s="20"/>
      <c r="K11" s="20"/>
      <c r="L11" s="20"/>
      <c r="M11" s="20"/>
      <c r="N11" s="20"/>
      <c r="O11" s="20"/>
      <c r="P11" s="20"/>
      <c r="Q11" s="83"/>
      <c r="R11" s="95"/>
    </row>
    <row r="12" spans="1:18" ht="44.25" customHeight="1" hidden="1" outlineLevel="2" thickBot="1">
      <c r="A12" s="5"/>
      <c r="B12" s="41" t="s">
        <v>7</v>
      </c>
      <c r="C12" s="42">
        <v>1</v>
      </c>
      <c r="D12" s="22">
        <f>355/1000</f>
        <v>0.355</v>
      </c>
      <c r="E12" s="21" t="s">
        <v>8</v>
      </c>
      <c r="F12" s="21"/>
      <c r="G12" s="21"/>
      <c r="H12" s="21"/>
      <c r="I12" s="21"/>
      <c r="J12" s="22"/>
      <c r="K12" s="22"/>
      <c r="L12" s="22"/>
      <c r="M12" s="22"/>
      <c r="N12" s="22"/>
      <c r="O12" s="22"/>
      <c r="P12" s="22"/>
      <c r="Q12" s="84"/>
      <c r="R12" s="96"/>
    </row>
    <row r="13" spans="1:18" s="7" customFormat="1" ht="55.5" customHeight="1" hidden="1" outlineLevel="2" collapsed="1" thickBot="1">
      <c r="A13" s="6" t="s">
        <v>10</v>
      </c>
      <c r="B13" s="44" t="s">
        <v>9</v>
      </c>
      <c r="C13" s="45">
        <v>1</v>
      </c>
      <c r="D13" s="46">
        <f>42.6/1000</f>
        <v>0.0426</v>
      </c>
      <c r="E13" s="47">
        <v>5.55</v>
      </c>
      <c r="F13" s="47"/>
      <c r="G13" s="47"/>
      <c r="H13" s="47"/>
      <c r="I13" s="47"/>
      <c r="J13" s="23" t="s">
        <v>224</v>
      </c>
      <c r="K13" s="23" t="s">
        <v>224</v>
      </c>
      <c r="L13" s="23" t="s">
        <v>224</v>
      </c>
      <c r="M13" s="23" t="s">
        <v>224</v>
      </c>
      <c r="N13" s="23" t="s">
        <v>224</v>
      </c>
      <c r="O13" s="23" t="s">
        <v>224</v>
      </c>
      <c r="P13" s="23" t="s">
        <v>224</v>
      </c>
      <c r="Q13" s="81" t="s">
        <v>224</v>
      </c>
      <c r="R13" s="93"/>
    </row>
    <row r="14" spans="1:18" ht="35.25" customHeight="1" hidden="1" outlineLevel="1" collapsed="1" thickBot="1">
      <c r="A14" s="8"/>
      <c r="B14" s="48" t="s">
        <v>225</v>
      </c>
      <c r="C14" s="49">
        <f>C15+C25+C43+C59+C80+C93+C112+C124+C132+C145+C151+C168+C185+C192+C208+C217+C219+C229</f>
        <v>62660</v>
      </c>
      <c r="D14" s="37">
        <f>D15+D25+D43+D59+D80+D93+D112+D124+D132+D145+D151+D168+D185+D192+D208+D217+D219+D229</f>
        <v>3139.2040479999996</v>
      </c>
      <c r="E14" s="36">
        <v>5.55</v>
      </c>
      <c r="F14" s="36"/>
      <c r="G14" s="36"/>
      <c r="H14" s="36"/>
      <c r="I14" s="36"/>
      <c r="J14" s="50"/>
      <c r="K14" s="50"/>
      <c r="L14" s="50"/>
      <c r="M14" s="50"/>
      <c r="N14" s="50"/>
      <c r="O14" s="50"/>
      <c r="P14" s="50"/>
      <c r="Q14" s="85"/>
      <c r="R14" s="97"/>
    </row>
    <row r="15" spans="1:18" ht="24.75" customHeight="1" hidden="1" outlineLevel="1" collapsed="1">
      <c r="A15" s="8" t="s">
        <v>10</v>
      </c>
      <c r="B15" s="51" t="s">
        <v>10</v>
      </c>
      <c r="C15" s="52">
        <v>2663</v>
      </c>
      <c r="D15" s="50">
        <f>SUM(D16:D24)</f>
        <v>132.6163599999999</v>
      </c>
      <c r="E15" s="50"/>
      <c r="F15" s="50"/>
      <c r="G15" s="50"/>
      <c r="H15" s="50"/>
      <c r="I15" s="50"/>
      <c r="J15" s="10"/>
      <c r="K15" s="10"/>
      <c r="L15" s="10"/>
      <c r="M15" s="10"/>
      <c r="N15" s="10"/>
      <c r="O15" s="10"/>
      <c r="P15" s="10"/>
      <c r="Q15" s="86"/>
      <c r="R15" s="98"/>
    </row>
    <row r="16" spans="1:18" ht="24.75" customHeight="1" hidden="1" outlineLevel="2">
      <c r="A16" s="8" t="s">
        <v>10</v>
      </c>
      <c r="B16" s="53" t="s">
        <v>10</v>
      </c>
      <c r="C16" s="54">
        <v>844</v>
      </c>
      <c r="D16" s="9">
        <f>41482.4299999999/1000</f>
        <v>41.4824299999999</v>
      </c>
      <c r="E16" s="9">
        <v>5.55</v>
      </c>
      <c r="F16" s="9"/>
      <c r="G16" s="9"/>
      <c r="H16" s="9"/>
      <c r="I16" s="9"/>
      <c r="J16" s="11"/>
      <c r="K16" s="11"/>
      <c r="L16" s="11"/>
      <c r="M16" s="11"/>
      <c r="N16" s="11"/>
      <c r="O16" s="11"/>
      <c r="P16" s="11"/>
      <c r="Q16" s="87"/>
      <c r="R16" s="99"/>
    </row>
    <row r="17" spans="1:18" s="13" customFormat="1" ht="24.75" customHeight="1" hidden="1" outlineLevel="2">
      <c r="A17" s="12" t="s">
        <v>10</v>
      </c>
      <c r="B17" s="55" t="s">
        <v>11</v>
      </c>
      <c r="C17" s="54">
        <v>124</v>
      </c>
      <c r="D17" s="9">
        <f>5648.59/1000</f>
        <v>5.64859</v>
      </c>
      <c r="E17" s="9">
        <v>5.55</v>
      </c>
      <c r="F17" s="9"/>
      <c r="G17" s="9"/>
      <c r="H17" s="9"/>
      <c r="I17" s="9"/>
      <c r="J17" s="11"/>
      <c r="K17" s="11"/>
      <c r="L17" s="11"/>
      <c r="M17" s="11"/>
      <c r="N17" s="11"/>
      <c r="O17" s="11"/>
      <c r="P17" s="11"/>
      <c r="Q17" s="87"/>
      <c r="R17" s="99"/>
    </row>
    <row r="18" spans="1:18" ht="28.5" customHeight="1" hidden="1" outlineLevel="2">
      <c r="A18" s="8" t="s">
        <v>10</v>
      </c>
      <c r="B18" s="55" t="s">
        <v>12</v>
      </c>
      <c r="C18" s="54">
        <v>262</v>
      </c>
      <c r="D18" s="9">
        <f>12510.79/1000</f>
        <v>12.51079</v>
      </c>
      <c r="E18" s="9">
        <v>5.55</v>
      </c>
      <c r="F18" s="9"/>
      <c r="G18" s="9"/>
      <c r="H18" s="9"/>
      <c r="I18" s="9"/>
      <c r="J18" s="11"/>
      <c r="K18" s="11"/>
      <c r="L18" s="11"/>
      <c r="M18" s="11"/>
      <c r="N18" s="11"/>
      <c r="O18" s="11"/>
      <c r="P18" s="11"/>
      <c r="Q18" s="87"/>
      <c r="R18" s="99"/>
    </row>
    <row r="19" spans="1:18" s="13" customFormat="1" ht="24.75" customHeight="1" hidden="1" outlineLevel="2">
      <c r="A19" s="12" t="s">
        <v>10</v>
      </c>
      <c r="B19" s="55" t="s">
        <v>13</v>
      </c>
      <c r="C19" s="54">
        <v>133</v>
      </c>
      <c r="D19" s="9">
        <f>6070.92/1000</f>
        <v>6.07092</v>
      </c>
      <c r="E19" s="9">
        <v>5.55</v>
      </c>
      <c r="F19" s="9"/>
      <c r="G19" s="9"/>
      <c r="H19" s="9"/>
      <c r="I19" s="9"/>
      <c r="J19" s="11"/>
      <c r="K19" s="11"/>
      <c r="L19" s="11"/>
      <c r="M19" s="11"/>
      <c r="N19" s="11"/>
      <c r="O19" s="11"/>
      <c r="P19" s="11"/>
      <c r="Q19" s="87"/>
      <c r="R19" s="99"/>
    </row>
    <row r="20" spans="1:18" ht="24.75" customHeight="1" hidden="1" outlineLevel="2">
      <c r="A20" s="8" t="s">
        <v>10</v>
      </c>
      <c r="B20" s="55" t="s">
        <v>14</v>
      </c>
      <c r="C20" s="54">
        <v>167</v>
      </c>
      <c r="D20" s="9">
        <f>7432.23/1000</f>
        <v>7.43223</v>
      </c>
      <c r="E20" s="9">
        <v>5.55</v>
      </c>
      <c r="F20" s="9"/>
      <c r="G20" s="9"/>
      <c r="H20" s="9"/>
      <c r="I20" s="9"/>
      <c r="J20" s="11"/>
      <c r="K20" s="11"/>
      <c r="L20" s="11"/>
      <c r="M20" s="11"/>
      <c r="N20" s="11"/>
      <c r="O20" s="11"/>
      <c r="P20" s="11"/>
      <c r="Q20" s="87"/>
      <c r="R20" s="99"/>
    </row>
    <row r="21" spans="1:18" ht="24.75" customHeight="1" hidden="1" outlineLevel="2">
      <c r="A21" s="8" t="s">
        <v>10</v>
      </c>
      <c r="B21" s="55" t="s">
        <v>15</v>
      </c>
      <c r="C21" s="54">
        <v>87</v>
      </c>
      <c r="D21" s="9">
        <f>3932.6/1000</f>
        <v>3.9326</v>
      </c>
      <c r="E21" s="9">
        <v>5.55</v>
      </c>
      <c r="F21" s="9"/>
      <c r="G21" s="9"/>
      <c r="H21" s="9"/>
      <c r="I21" s="9"/>
      <c r="J21" s="11"/>
      <c r="K21" s="11"/>
      <c r="L21" s="11"/>
      <c r="M21" s="11"/>
      <c r="N21" s="11"/>
      <c r="O21" s="11"/>
      <c r="P21" s="11"/>
      <c r="Q21" s="87"/>
      <c r="R21" s="99"/>
    </row>
    <row r="22" spans="1:18" s="13" customFormat="1" ht="24.75" customHeight="1" hidden="1" outlineLevel="2">
      <c r="A22" s="12" t="s">
        <v>10</v>
      </c>
      <c r="B22" s="55" t="s">
        <v>16</v>
      </c>
      <c r="C22" s="54">
        <v>817</v>
      </c>
      <c r="D22" s="9">
        <f>44506.65/1000</f>
        <v>44.50665</v>
      </c>
      <c r="E22" s="9">
        <v>5.55</v>
      </c>
      <c r="F22" s="9"/>
      <c r="G22" s="9"/>
      <c r="H22" s="9"/>
      <c r="I22" s="9"/>
      <c r="J22" s="11"/>
      <c r="K22" s="11"/>
      <c r="L22" s="11"/>
      <c r="M22" s="11"/>
      <c r="N22" s="11"/>
      <c r="O22" s="11"/>
      <c r="P22" s="11"/>
      <c r="Q22" s="87"/>
      <c r="R22" s="99"/>
    </row>
    <row r="23" spans="1:18" s="7" customFormat="1" ht="24.75" customHeight="1" hidden="1" outlineLevel="2">
      <c r="A23" s="14" t="s">
        <v>19</v>
      </c>
      <c r="B23" s="55" t="s">
        <v>17</v>
      </c>
      <c r="C23" s="54">
        <v>47</v>
      </c>
      <c r="D23" s="9">
        <f>2259.5/1000</f>
        <v>2.2595</v>
      </c>
      <c r="E23" s="9">
        <v>5.55</v>
      </c>
      <c r="F23" s="9"/>
      <c r="G23" s="9"/>
      <c r="H23" s="9"/>
      <c r="I23" s="9"/>
      <c r="J23" s="11"/>
      <c r="K23" s="11"/>
      <c r="L23" s="11"/>
      <c r="M23" s="11"/>
      <c r="N23" s="11"/>
      <c r="O23" s="11"/>
      <c r="P23" s="11"/>
      <c r="Q23" s="87"/>
      <c r="R23" s="99"/>
    </row>
    <row r="24" spans="1:18" ht="24.75" customHeight="1" hidden="1" outlineLevel="2">
      <c r="A24" s="8"/>
      <c r="B24" s="55" t="s">
        <v>18</v>
      </c>
      <c r="C24" s="54">
        <v>182</v>
      </c>
      <c r="D24" s="9">
        <f>8772.64999999999/1000</f>
        <v>8.77264999999999</v>
      </c>
      <c r="E24" s="9">
        <v>5.55</v>
      </c>
      <c r="F24" s="9"/>
      <c r="G24" s="9"/>
      <c r="H24" s="9"/>
      <c r="I24" s="9"/>
      <c r="J24" s="56"/>
      <c r="K24" s="56"/>
      <c r="L24" s="56"/>
      <c r="M24" s="56"/>
      <c r="N24" s="56"/>
      <c r="O24" s="56"/>
      <c r="P24" s="56"/>
      <c r="Q24" s="88"/>
      <c r="R24" s="100"/>
    </row>
    <row r="25" spans="1:18" ht="24.75" customHeight="1" hidden="1" outlineLevel="1" collapsed="1">
      <c r="A25" s="8" t="s">
        <v>19</v>
      </c>
      <c r="B25" s="57" t="s">
        <v>19</v>
      </c>
      <c r="C25" s="58">
        <v>1931</v>
      </c>
      <c r="D25" s="56">
        <f>SUM(D26:D42)</f>
        <v>91.74369999999998</v>
      </c>
      <c r="E25" s="9"/>
      <c r="F25" s="9"/>
      <c r="G25" s="9"/>
      <c r="H25" s="9"/>
      <c r="I25" s="9"/>
      <c r="J25" s="10"/>
      <c r="K25" s="10"/>
      <c r="L25" s="10"/>
      <c r="M25" s="10"/>
      <c r="N25" s="10"/>
      <c r="O25" s="10"/>
      <c r="P25" s="10"/>
      <c r="Q25" s="86"/>
      <c r="R25" s="98"/>
    </row>
    <row r="26" spans="1:18" ht="24.75" customHeight="1" hidden="1" outlineLevel="2">
      <c r="A26" s="8" t="s">
        <v>19</v>
      </c>
      <c r="B26" s="53" t="s">
        <v>19</v>
      </c>
      <c r="C26" s="54">
        <v>75</v>
      </c>
      <c r="D26" s="9">
        <f>3032.99/1000</f>
        <v>3.03299</v>
      </c>
      <c r="E26" s="9">
        <v>5.55</v>
      </c>
      <c r="F26" s="9"/>
      <c r="G26" s="9"/>
      <c r="H26" s="9"/>
      <c r="I26" s="9"/>
      <c r="J26" s="10"/>
      <c r="K26" s="10"/>
      <c r="L26" s="10"/>
      <c r="M26" s="10"/>
      <c r="N26" s="10"/>
      <c r="O26" s="10"/>
      <c r="P26" s="10"/>
      <c r="Q26" s="86"/>
      <c r="R26" s="98"/>
    </row>
    <row r="27" spans="1:18" ht="24.75" customHeight="1" hidden="1" outlineLevel="2">
      <c r="A27" s="8" t="s">
        <v>19</v>
      </c>
      <c r="B27" s="53" t="s">
        <v>20</v>
      </c>
      <c r="C27" s="54">
        <v>381</v>
      </c>
      <c r="D27" s="9">
        <f>18255.43/1000</f>
        <v>18.25543</v>
      </c>
      <c r="E27" s="9">
        <v>5.55</v>
      </c>
      <c r="F27" s="9"/>
      <c r="G27" s="9"/>
      <c r="H27" s="9"/>
      <c r="I27" s="9"/>
      <c r="J27" s="10"/>
      <c r="K27" s="10"/>
      <c r="L27" s="10"/>
      <c r="M27" s="10"/>
      <c r="N27" s="10"/>
      <c r="O27" s="10"/>
      <c r="P27" s="10"/>
      <c r="Q27" s="86"/>
      <c r="R27" s="98"/>
    </row>
    <row r="28" spans="1:18" ht="24.75" customHeight="1" hidden="1" outlineLevel="2">
      <c r="A28" s="8" t="s">
        <v>19</v>
      </c>
      <c r="B28" s="53" t="s">
        <v>21</v>
      </c>
      <c r="C28" s="54">
        <v>149</v>
      </c>
      <c r="D28" s="9">
        <f>6798.42/1000</f>
        <v>6.79842</v>
      </c>
      <c r="E28" s="9">
        <v>5.55</v>
      </c>
      <c r="F28" s="9"/>
      <c r="G28" s="9"/>
      <c r="H28" s="9"/>
      <c r="I28" s="9"/>
      <c r="J28" s="10"/>
      <c r="K28" s="10"/>
      <c r="L28" s="10"/>
      <c r="M28" s="10"/>
      <c r="N28" s="10"/>
      <c r="O28" s="10"/>
      <c r="P28" s="10"/>
      <c r="Q28" s="86"/>
      <c r="R28" s="98"/>
    </row>
    <row r="29" spans="1:18" ht="24.75" customHeight="1" hidden="1" outlineLevel="2">
      <c r="A29" s="8" t="s">
        <v>19</v>
      </c>
      <c r="B29" s="53" t="s">
        <v>22</v>
      </c>
      <c r="C29" s="54">
        <v>36</v>
      </c>
      <c r="D29" s="9">
        <f>1850/1000</f>
        <v>1.85</v>
      </c>
      <c r="E29" s="9">
        <v>5.55</v>
      </c>
      <c r="F29" s="9"/>
      <c r="G29" s="9"/>
      <c r="H29" s="9"/>
      <c r="I29" s="9"/>
      <c r="J29" s="10"/>
      <c r="K29" s="10"/>
      <c r="L29" s="10"/>
      <c r="M29" s="10"/>
      <c r="N29" s="10"/>
      <c r="O29" s="10"/>
      <c r="P29" s="10"/>
      <c r="Q29" s="86"/>
      <c r="R29" s="98"/>
    </row>
    <row r="30" spans="1:18" ht="24.75" customHeight="1" hidden="1" outlineLevel="2">
      <c r="A30" s="8" t="s">
        <v>19</v>
      </c>
      <c r="B30" s="53" t="s">
        <v>23</v>
      </c>
      <c r="C30" s="54">
        <v>98</v>
      </c>
      <c r="D30" s="9">
        <f>4538.7/1000</f>
        <v>4.5386999999999995</v>
      </c>
      <c r="E30" s="9">
        <v>5.55</v>
      </c>
      <c r="F30" s="9"/>
      <c r="G30" s="9"/>
      <c r="H30" s="9"/>
      <c r="I30" s="9"/>
      <c r="J30" s="10"/>
      <c r="K30" s="10"/>
      <c r="L30" s="10"/>
      <c r="M30" s="10"/>
      <c r="N30" s="10"/>
      <c r="O30" s="10"/>
      <c r="P30" s="10"/>
      <c r="Q30" s="86"/>
      <c r="R30" s="98"/>
    </row>
    <row r="31" spans="1:18" ht="24.75" customHeight="1" hidden="1" outlineLevel="2">
      <c r="A31" s="8" t="s">
        <v>19</v>
      </c>
      <c r="B31" s="53" t="s">
        <v>24</v>
      </c>
      <c r="C31" s="54">
        <v>147</v>
      </c>
      <c r="D31" s="9">
        <f>7496.41/1000</f>
        <v>7.49641</v>
      </c>
      <c r="E31" s="9">
        <v>5.55</v>
      </c>
      <c r="F31" s="9"/>
      <c r="G31" s="9"/>
      <c r="H31" s="9"/>
      <c r="I31" s="9"/>
      <c r="J31" s="10"/>
      <c r="K31" s="10"/>
      <c r="L31" s="10"/>
      <c r="M31" s="10"/>
      <c r="N31" s="10"/>
      <c r="O31" s="10"/>
      <c r="P31" s="10"/>
      <c r="Q31" s="86"/>
      <c r="R31" s="98"/>
    </row>
    <row r="32" spans="1:18" ht="24.75" customHeight="1" hidden="1" outlineLevel="2">
      <c r="A32" s="8" t="s">
        <v>19</v>
      </c>
      <c r="B32" s="53" t="s">
        <v>25</v>
      </c>
      <c r="C32" s="54">
        <v>86</v>
      </c>
      <c r="D32" s="9">
        <f>4068/1000</f>
        <v>4.068</v>
      </c>
      <c r="E32" s="9">
        <v>5.55</v>
      </c>
      <c r="F32" s="9"/>
      <c r="G32" s="9"/>
      <c r="H32" s="9"/>
      <c r="I32" s="9"/>
      <c r="J32" s="10"/>
      <c r="K32" s="10"/>
      <c r="L32" s="10"/>
      <c r="M32" s="10"/>
      <c r="N32" s="10"/>
      <c r="O32" s="10"/>
      <c r="P32" s="10"/>
      <c r="Q32" s="86"/>
      <c r="R32" s="98"/>
    </row>
    <row r="33" spans="1:18" ht="24.75" customHeight="1" hidden="1" outlineLevel="2">
      <c r="A33" s="8" t="s">
        <v>19</v>
      </c>
      <c r="B33" s="53" t="s">
        <v>26</v>
      </c>
      <c r="C33" s="54">
        <v>102</v>
      </c>
      <c r="D33" s="9">
        <f>4693.9/1000</f>
        <v>4.693899999999999</v>
      </c>
      <c r="E33" s="9">
        <v>5.55</v>
      </c>
      <c r="F33" s="9"/>
      <c r="G33" s="9"/>
      <c r="H33" s="9"/>
      <c r="I33" s="9"/>
      <c r="J33" s="10"/>
      <c r="K33" s="10"/>
      <c r="L33" s="10"/>
      <c r="M33" s="10"/>
      <c r="N33" s="10"/>
      <c r="O33" s="10"/>
      <c r="P33" s="10"/>
      <c r="Q33" s="86"/>
      <c r="R33" s="98"/>
    </row>
    <row r="34" spans="1:18" ht="24.75" customHeight="1" hidden="1" outlineLevel="2">
      <c r="A34" s="8" t="s">
        <v>19</v>
      </c>
      <c r="B34" s="53" t="s">
        <v>27</v>
      </c>
      <c r="C34" s="54">
        <v>212</v>
      </c>
      <c r="D34" s="9">
        <f>9842.39/1000</f>
        <v>9.84239</v>
      </c>
      <c r="E34" s="9">
        <v>5.55</v>
      </c>
      <c r="F34" s="9"/>
      <c r="G34" s="9"/>
      <c r="H34" s="9"/>
      <c r="I34" s="9"/>
      <c r="J34" s="10"/>
      <c r="K34" s="10"/>
      <c r="L34" s="10"/>
      <c r="M34" s="10"/>
      <c r="N34" s="10"/>
      <c r="O34" s="10"/>
      <c r="P34" s="10"/>
      <c r="Q34" s="86"/>
      <c r="R34" s="98"/>
    </row>
    <row r="35" spans="1:18" ht="24.75" customHeight="1" hidden="1" outlineLevel="2">
      <c r="A35" s="8" t="s">
        <v>19</v>
      </c>
      <c r="B35" s="53" t="s">
        <v>28</v>
      </c>
      <c r="C35" s="54">
        <v>81</v>
      </c>
      <c r="D35" s="9">
        <f>4211.72/1000</f>
        <v>4.211720000000001</v>
      </c>
      <c r="E35" s="9">
        <v>5.55</v>
      </c>
      <c r="F35" s="9"/>
      <c r="G35" s="9"/>
      <c r="H35" s="9"/>
      <c r="I35" s="9"/>
      <c r="J35" s="10"/>
      <c r="K35" s="10"/>
      <c r="L35" s="10"/>
      <c r="M35" s="10"/>
      <c r="N35" s="10"/>
      <c r="O35" s="10"/>
      <c r="P35" s="10"/>
      <c r="Q35" s="86"/>
      <c r="R35" s="98"/>
    </row>
    <row r="36" spans="1:18" ht="24.75" customHeight="1" hidden="1" outlineLevel="2">
      <c r="A36" s="8" t="s">
        <v>19</v>
      </c>
      <c r="B36" s="53" t="s">
        <v>29</v>
      </c>
      <c r="C36" s="54">
        <v>133</v>
      </c>
      <c r="D36" s="9">
        <f>5304.22/1000</f>
        <v>5.30422</v>
      </c>
      <c r="E36" s="9">
        <v>5.55</v>
      </c>
      <c r="F36" s="9"/>
      <c r="G36" s="9"/>
      <c r="H36" s="9"/>
      <c r="I36" s="9"/>
      <c r="J36" s="10"/>
      <c r="K36" s="10"/>
      <c r="L36" s="10"/>
      <c r="M36" s="10"/>
      <c r="N36" s="10"/>
      <c r="O36" s="10"/>
      <c r="P36" s="10"/>
      <c r="Q36" s="86"/>
      <c r="R36" s="98"/>
    </row>
    <row r="37" spans="1:18" ht="24.75" customHeight="1" hidden="1" outlineLevel="2">
      <c r="A37" s="8" t="s">
        <v>19</v>
      </c>
      <c r="B37" s="53" t="s">
        <v>30</v>
      </c>
      <c r="C37" s="54">
        <v>57</v>
      </c>
      <c r="D37" s="9">
        <f>3165.5/1000</f>
        <v>3.1655</v>
      </c>
      <c r="E37" s="9">
        <v>5.55</v>
      </c>
      <c r="F37" s="9"/>
      <c r="G37" s="9"/>
      <c r="H37" s="9"/>
      <c r="I37" s="9"/>
      <c r="J37" s="10"/>
      <c r="K37" s="10"/>
      <c r="L37" s="10"/>
      <c r="M37" s="10"/>
      <c r="N37" s="10"/>
      <c r="O37" s="10"/>
      <c r="P37" s="10"/>
      <c r="Q37" s="86"/>
      <c r="R37" s="98"/>
    </row>
    <row r="38" spans="1:18" ht="24.75" customHeight="1" hidden="1" outlineLevel="2">
      <c r="A38" s="8" t="s">
        <v>19</v>
      </c>
      <c r="B38" s="53" t="s">
        <v>31</v>
      </c>
      <c r="C38" s="54">
        <v>95</v>
      </c>
      <c r="D38" s="9">
        <f>4514.1/1000</f>
        <v>4.5141</v>
      </c>
      <c r="E38" s="9">
        <v>5.55</v>
      </c>
      <c r="F38" s="9"/>
      <c r="G38" s="9"/>
      <c r="H38" s="9"/>
      <c r="I38" s="9"/>
      <c r="J38" s="10"/>
      <c r="K38" s="10"/>
      <c r="L38" s="10"/>
      <c r="M38" s="10"/>
      <c r="N38" s="10"/>
      <c r="O38" s="10"/>
      <c r="P38" s="10"/>
      <c r="Q38" s="86"/>
      <c r="R38" s="98"/>
    </row>
    <row r="39" spans="1:18" ht="24.75" customHeight="1" hidden="1" outlineLevel="2">
      <c r="A39" s="8" t="s">
        <v>19</v>
      </c>
      <c r="B39" s="53" t="s">
        <v>32</v>
      </c>
      <c r="C39" s="54">
        <v>41</v>
      </c>
      <c r="D39" s="9">
        <f>1770.72/1000</f>
        <v>1.77072</v>
      </c>
      <c r="E39" s="9">
        <v>5.55</v>
      </c>
      <c r="F39" s="9"/>
      <c r="G39" s="9"/>
      <c r="H39" s="9"/>
      <c r="I39" s="9"/>
      <c r="J39" s="10"/>
      <c r="K39" s="10"/>
      <c r="L39" s="10"/>
      <c r="M39" s="10"/>
      <c r="N39" s="10"/>
      <c r="O39" s="10"/>
      <c r="P39" s="10"/>
      <c r="Q39" s="86"/>
      <c r="R39" s="98"/>
    </row>
    <row r="40" spans="1:18" ht="24.75" customHeight="1" hidden="1" outlineLevel="2">
      <c r="A40" s="8" t="s">
        <v>19</v>
      </c>
      <c r="B40" s="53" t="s">
        <v>33</v>
      </c>
      <c r="C40" s="54">
        <v>42</v>
      </c>
      <c r="D40" s="9">
        <f>2230.1/1000</f>
        <v>2.2300999999999997</v>
      </c>
      <c r="E40" s="9">
        <v>5.55</v>
      </c>
      <c r="F40" s="9"/>
      <c r="G40" s="9"/>
      <c r="H40" s="9"/>
      <c r="I40" s="9"/>
      <c r="J40" s="10"/>
      <c r="K40" s="10"/>
      <c r="L40" s="10"/>
      <c r="M40" s="10"/>
      <c r="N40" s="10"/>
      <c r="O40" s="10"/>
      <c r="P40" s="10"/>
      <c r="Q40" s="86"/>
      <c r="R40" s="98"/>
    </row>
    <row r="41" spans="1:18" s="7" customFormat="1" ht="24.75" customHeight="1" hidden="1" outlineLevel="2">
      <c r="A41" s="14" t="s">
        <v>36</v>
      </c>
      <c r="B41" s="53" t="s">
        <v>34</v>
      </c>
      <c r="C41" s="54">
        <v>108</v>
      </c>
      <c r="D41" s="9">
        <f>5555.6/1000</f>
        <v>5.5556</v>
      </c>
      <c r="E41" s="9">
        <v>5.55</v>
      </c>
      <c r="F41" s="9"/>
      <c r="G41" s="9"/>
      <c r="H41" s="9"/>
      <c r="I41" s="9"/>
      <c r="J41" s="10"/>
      <c r="K41" s="10"/>
      <c r="L41" s="10"/>
      <c r="M41" s="10"/>
      <c r="N41" s="10"/>
      <c r="O41" s="10"/>
      <c r="P41" s="10"/>
      <c r="Q41" s="86"/>
      <c r="R41" s="98"/>
    </row>
    <row r="42" spans="1:18" ht="24.75" customHeight="1" hidden="1" outlineLevel="2">
      <c r="A42" s="8"/>
      <c r="B42" s="53" t="s">
        <v>35</v>
      </c>
      <c r="C42" s="54">
        <v>88</v>
      </c>
      <c r="D42" s="9">
        <f>4415.5/1000</f>
        <v>4.4155</v>
      </c>
      <c r="E42" s="9">
        <v>5.55</v>
      </c>
      <c r="F42" s="9"/>
      <c r="G42" s="9"/>
      <c r="H42" s="9"/>
      <c r="I42" s="9"/>
      <c r="J42" s="56"/>
      <c r="K42" s="56"/>
      <c r="L42" s="56"/>
      <c r="M42" s="56"/>
      <c r="N42" s="56"/>
      <c r="O42" s="56"/>
      <c r="P42" s="56"/>
      <c r="Q42" s="88"/>
      <c r="R42" s="100"/>
    </row>
    <row r="43" spans="1:18" ht="24.75" customHeight="1" hidden="1" outlineLevel="1" collapsed="1">
      <c r="A43" s="8" t="s">
        <v>36</v>
      </c>
      <c r="B43" s="57" t="s">
        <v>36</v>
      </c>
      <c r="C43" s="58">
        <v>3999</v>
      </c>
      <c r="D43" s="56">
        <f>SUM(D44:D58)</f>
        <v>194.80843000000007</v>
      </c>
      <c r="E43" s="9"/>
      <c r="F43" s="9"/>
      <c r="G43" s="9"/>
      <c r="H43" s="9"/>
      <c r="I43" s="9"/>
      <c r="J43" s="10"/>
      <c r="K43" s="10"/>
      <c r="L43" s="10"/>
      <c r="M43" s="10"/>
      <c r="N43" s="10"/>
      <c r="O43" s="10"/>
      <c r="P43" s="10"/>
      <c r="Q43" s="86"/>
      <c r="R43" s="98"/>
    </row>
    <row r="44" spans="1:18" ht="24.75" customHeight="1" hidden="1" outlineLevel="2">
      <c r="A44" s="8" t="s">
        <v>36</v>
      </c>
      <c r="B44" s="53" t="s">
        <v>36</v>
      </c>
      <c r="C44" s="54">
        <v>2057</v>
      </c>
      <c r="D44" s="9">
        <f>100212.6/1000</f>
        <v>100.21260000000001</v>
      </c>
      <c r="E44" s="9">
        <v>5.55</v>
      </c>
      <c r="F44" s="9"/>
      <c r="G44" s="9"/>
      <c r="H44" s="9"/>
      <c r="I44" s="9"/>
      <c r="J44" s="10"/>
      <c r="K44" s="10"/>
      <c r="L44" s="10"/>
      <c r="M44" s="10"/>
      <c r="N44" s="10"/>
      <c r="O44" s="10"/>
      <c r="P44" s="10"/>
      <c r="Q44" s="86"/>
      <c r="R44" s="98"/>
    </row>
    <row r="45" spans="1:18" ht="24.75" customHeight="1" hidden="1" outlineLevel="2">
      <c r="A45" s="8" t="s">
        <v>36</v>
      </c>
      <c r="B45" s="53" t="s">
        <v>37</v>
      </c>
      <c r="C45" s="54">
        <v>91</v>
      </c>
      <c r="D45" s="9">
        <f>4525.89/1000</f>
        <v>4.52589</v>
      </c>
      <c r="E45" s="9">
        <v>5.55</v>
      </c>
      <c r="F45" s="9"/>
      <c r="G45" s="9"/>
      <c r="H45" s="9"/>
      <c r="I45" s="9"/>
      <c r="J45" s="10"/>
      <c r="K45" s="10"/>
      <c r="L45" s="10"/>
      <c r="M45" s="10"/>
      <c r="N45" s="10"/>
      <c r="O45" s="10"/>
      <c r="P45" s="10"/>
      <c r="Q45" s="86"/>
      <c r="R45" s="98"/>
    </row>
    <row r="46" spans="1:18" ht="24.75" customHeight="1" hidden="1" outlineLevel="2">
      <c r="A46" s="8" t="s">
        <v>36</v>
      </c>
      <c r="B46" s="53" t="s">
        <v>38</v>
      </c>
      <c r="C46" s="54">
        <v>86</v>
      </c>
      <c r="D46" s="9">
        <f>4189.89/1000</f>
        <v>4.18989</v>
      </c>
      <c r="E46" s="9">
        <v>5.55</v>
      </c>
      <c r="F46" s="9"/>
      <c r="G46" s="9"/>
      <c r="H46" s="9"/>
      <c r="I46" s="9"/>
      <c r="J46" s="10"/>
      <c r="K46" s="10"/>
      <c r="L46" s="10"/>
      <c r="M46" s="10"/>
      <c r="N46" s="10"/>
      <c r="O46" s="10"/>
      <c r="P46" s="10"/>
      <c r="Q46" s="86"/>
      <c r="R46" s="98"/>
    </row>
    <row r="47" spans="1:18" ht="24.75" customHeight="1" hidden="1" outlineLevel="2">
      <c r="A47" s="8" t="s">
        <v>36</v>
      </c>
      <c r="B47" s="53" t="s">
        <v>39</v>
      </c>
      <c r="C47" s="54">
        <v>67</v>
      </c>
      <c r="D47" s="9">
        <f>3155.31/1000</f>
        <v>3.15531</v>
      </c>
      <c r="E47" s="9">
        <v>5.55</v>
      </c>
      <c r="F47" s="9"/>
      <c r="G47" s="9"/>
      <c r="H47" s="9"/>
      <c r="I47" s="9"/>
      <c r="J47" s="10"/>
      <c r="K47" s="10"/>
      <c r="L47" s="10"/>
      <c r="M47" s="10"/>
      <c r="N47" s="10"/>
      <c r="O47" s="10"/>
      <c r="P47" s="10"/>
      <c r="Q47" s="86"/>
      <c r="R47" s="98"/>
    </row>
    <row r="48" spans="1:18" ht="24.75" customHeight="1" hidden="1" outlineLevel="2">
      <c r="A48" s="8" t="s">
        <v>36</v>
      </c>
      <c r="B48" s="53" t="s">
        <v>40</v>
      </c>
      <c r="C48" s="54">
        <v>120</v>
      </c>
      <c r="D48" s="9">
        <f>5716.17/1000</f>
        <v>5.71617</v>
      </c>
      <c r="E48" s="9">
        <v>5.55</v>
      </c>
      <c r="F48" s="9"/>
      <c r="G48" s="9"/>
      <c r="H48" s="9"/>
      <c r="I48" s="9"/>
      <c r="J48" s="10"/>
      <c r="K48" s="10"/>
      <c r="L48" s="10"/>
      <c r="M48" s="10"/>
      <c r="N48" s="10"/>
      <c r="O48" s="10"/>
      <c r="P48" s="10"/>
      <c r="Q48" s="86"/>
      <c r="R48" s="98"/>
    </row>
    <row r="49" spans="1:18" ht="24.75" customHeight="1" hidden="1" outlineLevel="2">
      <c r="A49" s="8" t="s">
        <v>36</v>
      </c>
      <c r="B49" s="53" t="s">
        <v>41</v>
      </c>
      <c r="C49" s="54">
        <v>145</v>
      </c>
      <c r="D49" s="9">
        <f>6892.74/1000</f>
        <v>6.89274</v>
      </c>
      <c r="E49" s="9">
        <v>5.55</v>
      </c>
      <c r="F49" s="9"/>
      <c r="G49" s="9"/>
      <c r="H49" s="9"/>
      <c r="I49" s="9"/>
      <c r="J49" s="10"/>
      <c r="K49" s="10"/>
      <c r="L49" s="10"/>
      <c r="M49" s="10"/>
      <c r="N49" s="10"/>
      <c r="O49" s="10"/>
      <c r="P49" s="10"/>
      <c r="Q49" s="86"/>
      <c r="R49" s="98"/>
    </row>
    <row r="50" spans="1:18" ht="24.75" customHeight="1" hidden="1" outlineLevel="2">
      <c r="A50" s="8" t="s">
        <v>36</v>
      </c>
      <c r="B50" s="53" t="s">
        <v>42</v>
      </c>
      <c r="C50" s="54">
        <v>258</v>
      </c>
      <c r="D50" s="9">
        <f>13471.53/1000</f>
        <v>13.471530000000001</v>
      </c>
      <c r="E50" s="9">
        <v>5.55</v>
      </c>
      <c r="F50" s="9"/>
      <c r="G50" s="9"/>
      <c r="H50" s="9"/>
      <c r="I50" s="9"/>
      <c r="J50" s="10"/>
      <c r="K50" s="10"/>
      <c r="L50" s="10"/>
      <c r="M50" s="10"/>
      <c r="N50" s="10"/>
      <c r="O50" s="10"/>
      <c r="P50" s="10"/>
      <c r="Q50" s="86"/>
      <c r="R50" s="98"/>
    </row>
    <row r="51" spans="1:18" ht="24.75" customHeight="1" hidden="1" outlineLevel="2">
      <c r="A51" s="8" t="s">
        <v>36</v>
      </c>
      <c r="B51" s="53" t="s">
        <v>43</v>
      </c>
      <c r="C51" s="54">
        <v>162</v>
      </c>
      <c r="D51" s="9">
        <f>7218.48/1000</f>
        <v>7.21848</v>
      </c>
      <c r="E51" s="9">
        <v>5.55</v>
      </c>
      <c r="F51" s="9"/>
      <c r="G51" s="9"/>
      <c r="H51" s="9"/>
      <c r="I51" s="9"/>
      <c r="J51" s="10"/>
      <c r="K51" s="10"/>
      <c r="L51" s="10"/>
      <c r="M51" s="10"/>
      <c r="N51" s="10"/>
      <c r="O51" s="10"/>
      <c r="P51" s="10"/>
      <c r="Q51" s="86"/>
      <c r="R51" s="98"/>
    </row>
    <row r="52" spans="1:18" ht="24.75" customHeight="1" hidden="1" outlineLevel="2">
      <c r="A52" s="8" t="s">
        <v>36</v>
      </c>
      <c r="B52" s="53" t="s">
        <v>44</v>
      </c>
      <c r="C52" s="54">
        <v>54</v>
      </c>
      <c r="D52" s="9">
        <f>1927.21/1000</f>
        <v>1.92721</v>
      </c>
      <c r="E52" s="9">
        <v>5.55</v>
      </c>
      <c r="F52" s="9"/>
      <c r="G52" s="9"/>
      <c r="H52" s="9"/>
      <c r="I52" s="9"/>
      <c r="J52" s="10"/>
      <c r="K52" s="10"/>
      <c r="L52" s="10"/>
      <c r="M52" s="10"/>
      <c r="N52" s="10"/>
      <c r="O52" s="10"/>
      <c r="P52" s="10"/>
      <c r="Q52" s="86"/>
      <c r="R52" s="98"/>
    </row>
    <row r="53" spans="1:18" ht="24.75" customHeight="1" hidden="1" outlineLevel="2">
      <c r="A53" s="8" t="s">
        <v>36</v>
      </c>
      <c r="B53" s="53" t="s">
        <v>45</v>
      </c>
      <c r="C53" s="54">
        <v>48</v>
      </c>
      <c r="D53" s="9">
        <f>2536.91/1000</f>
        <v>2.5369099999999998</v>
      </c>
      <c r="E53" s="9">
        <v>5.55</v>
      </c>
      <c r="F53" s="9"/>
      <c r="G53" s="9"/>
      <c r="H53" s="9"/>
      <c r="I53" s="9"/>
      <c r="J53" s="10"/>
      <c r="K53" s="10"/>
      <c r="L53" s="10"/>
      <c r="M53" s="10"/>
      <c r="N53" s="10"/>
      <c r="O53" s="10"/>
      <c r="P53" s="10"/>
      <c r="Q53" s="86"/>
      <c r="R53" s="98"/>
    </row>
    <row r="54" spans="1:18" ht="24.75" customHeight="1" hidden="1" outlineLevel="2">
      <c r="A54" s="8" t="s">
        <v>36</v>
      </c>
      <c r="B54" s="53" t="s">
        <v>46</v>
      </c>
      <c r="C54" s="54">
        <v>50</v>
      </c>
      <c r="D54" s="9">
        <f>2489.16/1000</f>
        <v>2.48916</v>
      </c>
      <c r="E54" s="9">
        <v>5.55</v>
      </c>
      <c r="F54" s="9"/>
      <c r="G54" s="9"/>
      <c r="H54" s="9"/>
      <c r="I54" s="9"/>
      <c r="J54" s="10"/>
      <c r="K54" s="10"/>
      <c r="L54" s="10"/>
      <c r="M54" s="10"/>
      <c r="N54" s="10"/>
      <c r="O54" s="10"/>
      <c r="P54" s="10"/>
      <c r="Q54" s="86"/>
      <c r="R54" s="98"/>
    </row>
    <row r="55" spans="1:18" ht="24.75" customHeight="1" hidden="1" outlineLevel="2">
      <c r="A55" s="8" t="s">
        <v>36</v>
      </c>
      <c r="B55" s="53" t="s">
        <v>47</v>
      </c>
      <c r="C55" s="54">
        <v>155</v>
      </c>
      <c r="D55" s="9">
        <f>7337.61000000001/1000</f>
        <v>7.3376100000000095</v>
      </c>
      <c r="E55" s="9">
        <v>5.55</v>
      </c>
      <c r="F55" s="9"/>
      <c r="G55" s="9"/>
      <c r="H55" s="9"/>
      <c r="I55" s="9"/>
      <c r="J55" s="10"/>
      <c r="K55" s="10"/>
      <c r="L55" s="10"/>
      <c r="M55" s="10"/>
      <c r="N55" s="10"/>
      <c r="O55" s="10"/>
      <c r="P55" s="10"/>
      <c r="Q55" s="86"/>
      <c r="R55" s="98"/>
    </row>
    <row r="56" spans="1:18" ht="24.75" customHeight="1" hidden="1" outlineLevel="2">
      <c r="A56" s="8" t="s">
        <v>36</v>
      </c>
      <c r="B56" s="53" t="s">
        <v>48</v>
      </c>
      <c r="C56" s="54">
        <v>542</v>
      </c>
      <c r="D56" s="9">
        <f>27371.18/1000</f>
        <v>27.37118</v>
      </c>
      <c r="E56" s="9">
        <v>5.55</v>
      </c>
      <c r="F56" s="9"/>
      <c r="G56" s="9"/>
      <c r="H56" s="9"/>
      <c r="I56" s="9"/>
      <c r="J56" s="10"/>
      <c r="K56" s="10"/>
      <c r="L56" s="10"/>
      <c r="M56" s="10"/>
      <c r="N56" s="10"/>
      <c r="O56" s="10"/>
      <c r="P56" s="10"/>
      <c r="Q56" s="86"/>
      <c r="R56" s="98"/>
    </row>
    <row r="57" spans="1:18" s="7" customFormat="1" ht="24.75" customHeight="1" hidden="1" outlineLevel="2">
      <c r="A57" s="14" t="s">
        <v>51</v>
      </c>
      <c r="B57" s="53" t="s">
        <v>49</v>
      </c>
      <c r="C57" s="54">
        <v>139</v>
      </c>
      <c r="D57" s="9">
        <f>6549.56/1000</f>
        <v>6.5495600000000005</v>
      </c>
      <c r="E57" s="9">
        <v>5.55</v>
      </c>
      <c r="F57" s="9"/>
      <c r="G57" s="9"/>
      <c r="H57" s="9"/>
      <c r="I57" s="9"/>
      <c r="J57" s="10"/>
      <c r="K57" s="10"/>
      <c r="L57" s="10"/>
      <c r="M57" s="10"/>
      <c r="N57" s="10"/>
      <c r="O57" s="10"/>
      <c r="P57" s="10"/>
      <c r="Q57" s="86"/>
      <c r="R57" s="98"/>
    </row>
    <row r="58" spans="1:18" ht="24.75" customHeight="1" hidden="1" outlineLevel="2">
      <c r="A58" s="8"/>
      <c r="B58" s="53" t="s">
        <v>50</v>
      </c>
      <c r="C58" s="54">
        <v>25</v>
      </c>
      <c r="D58" s="9">
        <f>1214.19/1000</f>
        <v>1.21419</v>
      </c>
      <c r="E58" s="9">
        <v>5.55</v>
      </c>
      <c r="F58" s="9"/>
      <c r="G58" s="9"/>
      <c r="H58" s="9"/>
      <c r="I58" s="9"/>
      <c r="J58" s="56"/>
      <c r="K58" s="56"/>
      <c r="L58" s="56"/>
      <c r="M58" s="56"/>
      <c r="N58" s="56"/>
      <c r="O58" s="56"/>
      <c r="P58" s="56"/>
      <c r="Q58" s="88"/>
      <c r="R58" s="100"/>
    </row>
    <row r="59" spans="1:18" ht="24.75" customHeight="1" hidden="1" outlineLevel="1" collapsed="1">
      <c r="A59" s="8" t="s">
        <v>51</v>
      </c>
      <c r="B59" s="57" t="s">
        <v>51</v>
      </c>
      <c r="C59" s="58">
        <v>5802</v>
      </c>
      <c r="D59" s="56">
        <f>SUM(D60:D79)</f>
        <v>287.2531200000001</v>
      </c>
      <c r="E59" s="9"/>
      <c r="F59" s="9"/>
      <c r="G59" s="9"/>
      <c r="H59" s="9"/>
      <c r="I59" s="9"/>
      <c r="J59" s="10"/>
      <c r="K59" s="10"/>
      <c r="L59" s="10"/>
      <c r="M59" s="10"/>
      <c r="N59" s="10"/>
      <c r="O59" s="10"/>
      <c r="P59" s="10"/>
      <c r="Q59" s="86"/>
      <c r="R59" s="98"/>
    </row>
    <row r="60" spans="1:18" ht="24.75" customHeight="1" hidden="1" outlineLevel="2">
      <c r="A60" s="8" t="s">
        <v>51</v>
      </c>
      <c r="B60" s="53" t="s">
        <v>51</v>
      </c>
      <c r="C60" s="54">
        <v>61</v>
      </c>
      <c r="D60" s="9">
        <f>3505.78/1000</f>
        <v>3.50578</v>
      </c>
      <c r="E60" s="9">
        <v>5.55</v>
      </c>
      <c r="F60" s="9"/>
      <c r="G60" s="9"/>
      <c r="H60" s="9"/>
      <c r="I60" s="9"/>
      <c r="J60" s="15"/>
      <c r="K60" s="15"/>
      <c r="L60" s="15"/>
      <c r="M60" s="15"/>
      <c r="N60" s="15"/>
      <c r="O60" s="15"/>
      <c r="P60" s="15"/>
      <c r="Q60" s="89"/>
      <c r="R60" s="101"/>
    </row>
    <row r="61" spans="1:18" ht="24.75" customHeight="1" hidden="1" outlineLevel="2">
      <c r="A61" s="8" t="s">
        <v>51</v>
      </c>
      <c r="B61" s="59" t="s">
        <v>52</v>
      </c>
      <c r="C61" s="54">
        <v>823</v>
      </c>
      <c r="D61" s="9">
        <f>40525.32/1000</f>
        <v>40.52532</v>
      </c>
      <c r="E61" s="9">
        <v>5.55</v>
      </c>
      <c r="F61" s="9"/>
      <c r="G61" s="9"/>
      <c r="H61" s="9"/>
      <c r="I61" s="9"/>
      <c r="J61" s="10"/>
      <c r="K61" s="10"/>
      <c r="L61" s="10"/>
      <c r="M61" s="10"/>
      <c r="N61" s="10"/>
      <c r="O61" s="10"/>
      <c r="P61" s="10"/>
      <c r="Q61" s="86"/>
      <c r="R61" s="98"/>
    </row>
    <row r="62" spans="1:18" ht="24.75" customHeight="1" hidden="1" outlineLevel="2">
      <c r="A62" s="8" t="s">
        <v>51</v>
      </c>
      <c r="B62" s="53" t="s">
        <v>53</v>
      </c>
      <c r="C62" s="54">
        <v>211</v>
      </c>
      <c r="D62" s="9">
        <f>10287.97/1000</f>
        <v>10.28797</v>
      </c>
      <c r="E62" s="9">
        <v>5.55</v>
      </c>
      <c r="F62" s="9"/>
      <c r="G62" s="9"/>
      <c r="H62" s="9"/>
      <c r="I62" s="9"/>
      <c r="J62" s="10"/>
      <c r="K62" s="10"/>
      <c r="L62" s="10"/>
      <c r="M62" s="10"/>
      <c r="N62" s="10"/>
      <c r="O62" s="10"/>
      <c r="P62" s="10"/>
      <c r="Q62" s="86"/>
      <c r="R62" s="98"/>
    </row>
    <row r="63" spans="1:18" ht="24.75" customHeight="1" hidden="1" outlineLevel="2">
      <c r="A63" s="8" t="s">
        <v>51</v>
      </c>
      <c r="B63" s="53" t="s">
        <v>54</v>
      </c>
      <c r="C63" s="54">
        <v>189</v>
      </c>
      <c r="D63" s="9">
        <f>9388.88/1000</f>
        <v>9.388879999999999</v>
      </c>
      <c r="E63" s="9">
        <v>5.55</v>
      </c>
      <c r="F63" s="9"/>
      <c r="G63" s="9"/>
      <c r="H63" s="9"/>
      <c r="I63" s="9"/>
      <c r="J63" s="10"/>
      <c r="K63" s="10"/>
      <c r="L63" s="10"/>
      <c r="M63" s="10"/>
      <c r="N63" s="10"/>
      <c r="O63" s="10"/>
      <c r="P63" s="10"/>
      <c r="Q63" s="86"/>
      <c r="R63" s="98"/>
    </row>
    <row r="64" spans="1:18" ht="24.75" customHeight="1" hidden="1" outlineLevel="2">
      <c r="A64" s="8" t="s">
        <v>51</v>
      </c>
      <c r="B64" s="53" t="s">
        <v>55</v>
      </c>
      <c r="C64" s="54">
        <v>126</v>
      </c>
      <c r="D64" s="9">
        <f>6055.75/1000</f>
        <v>6.05575</v>
      </c>
      <c r="E64" s="9">
        <v>5.55</v>
      </c>
      <c r="F64" s="9"/>
      <c r="G64" s="9"/>
      <c r="H64" s="9"/>
      <c r="I64" s="9"/>
      <c r="J64" s="10"/>
      <c r="K64" s="10"/>
      <c r="L64" s="10"/>
      <c r="M64" s="10"/>
      <c r="N64" s="10"/>
      <c r="O64" s="10"/>
      <c r="P64" s="10"/>
      <c r="Q64" s="86"/>
      <c r="R64" s="98"/>
    </row>
    <row r="65" spans="1:18" ht="24.75" customHeight="1" hidden="1" outlineLevel="2">
      <c r="A65" s="8" t="s">
        <v>51</v>
      </c>
      <c r="B65" s="53" t="s">
        <v>56</v>
      </c>
      <c r="C65" s="54">
        <v>161</v>
      </c>
      <c r="D65" s="9">
        <f>8528.25/1000</f>
        <v>8.52825</v>
      </c>
      <c r="E65" s="9">
        <v>5.55</v>
      </c>
      <c r="F65" s="9"/>
      <c r="G65" s="9"/>
      <c r="H65" s="9"/>
      <c r="I65" s="9"/>
      <c r="J65" s="10"/>
      <c r="K65" s="10"/>
      <c r="L65" s="10"/>
      <c r="M65" s="10"/>
      <c r="N65" s="10"/>
      <c r="O65" s="10"/>
      <c r="P65" s="10"/>
      <c r="Q65" s="86"/>
      <c r="R65" s="98"/>
    </row>
    <row r="66" spans="1:18" ht="24.75" customHeight="1" hidden="1" outlineLevel="2">
      <c r="A66" s="8" t="s">
        <v>51</v>
      </c>
      <c r="B66" s="53" t="s">
        <v>57</v>
      </c>
      <c r="C66" s="54">
        <v>319</v>
      </c>
      <c r="D66" s="9">
        <f>16280.4/1000</f>
        <v>16.2804</v>
      </c>
      <c r="E66" s="9">
        <v>5.55</v>
      </c>
      <c r="F66" s="9"/>
      <c r="G66" s="9"/>
      <c r="H66" s="9"/>
      <c r="I66" s="9"/>
      <c r="J66" s="10"/>
      <c r="K66" s="10"/>
      <c r="L66" s="10"/>
      <c r="M66" s="10"/>
      <c r="N66" s="10"/>
      <c r="O66" s="10"/>
      <c r="P66" s="10"/>
      <c r="Q66" s="86"/>
      <c r="R66" s="98"/>
    </row>
    <row r="67" spans="1:18" ht="24.75" customHeight="1" hidden="1" outlineLevel="2">
      <c r="A67" s="8" t="s">
        <v>51</v>
      </c>
      <c r="B67" s="53" t="s">
        <v>58</v>
      </c>
      <c r="C67" s="54">
        <v>246</v>
      </c>
      <c r="D67" s="9">
        <f>11445.06/1000</f>
        <v>11.44506</v>
      </c>
      <c r="E67" s="9">
        <v>5.55</v>
      </c>
      <c r="F67" s="9"/>
      <c r="G67" s="9"/>
      <c r="H67" s="9"/>
      <c r="I67" s="9"/>
      <c r="J67" s="10"/>
      <c r="K67" s="10"/>
      <c r="L67" s="10"/>
      <c r="M67" s="10"/>
      <c r="N67" s="10"/>
      <c r="O67" s="10"/>
      <c r="P67" s="10"/>
      <c r="Q67" s="86"/>
      <c r="R67" s="98"/>
    </row>
    <row r="68" spans="1:18" ht="24.75" customHeight="1" hidden="1" outlineLevel="2">
      <c r="A68" s="8" t="s">
        <v>51</v>
      </c>
      <c r="B68" s="53" t="s">
        <v>59</v>
      </c>
      <c r="C68" s="54">
        <v>569</v>
      </c>
      <c r="D68" s="9">
        <f>27169.11/1000</f>
        <v>27.16911</v>
      </c>
      <c r="E68" s="9">
        <v>5.55</v>
      </c>
      <c r="F68" s="9"/>
      <c r="G68" s="9"/>
      <c r="H68" s="9"/>
      <c r="I68" s="9"/>
      <c r="J68" s="10"/>
      <c r="K68" s="10"/>
      <c r="L68" s="10"/>
      <c r="M68" s="10"/>
      <c r="N68" s="10"/>
      <c r="O68" s="10"/>
      <c r="P68" s="10"/>
      <c r="Q68" s="86"/>
      <c r="R68" s="98"/>
    </row>
    <row r="69" spans="1:18" ht="24.75" customHeight="1" hidden="1" outlineLevel="2">
      <c r="A69" s="8" t="s">
        <v>51</v>
      </c>
      <c r="B69" s="53" t="s">
        <v>60</v>
      </c>
      <c r="C69" s="54">
        <v>242</v>
      </c>
      <c r="D69" s="9">
        <f>13079.1/1000</f>
        <v>13.0791</v>
      </c>
      <c r="E69" s="9">
        <v>5.55</v>
      </c>
      <c r="F69" s="9"/>
      <c r="G69" s="9"/>
      <c r="H69" s="9"/>
      <c r="I69" s="9"/>
      <c r="J69" s="10"/>
      <c r="K69" s="10"/>
      <c r="L69" s="10"/>
      <c r="M69" s="10"/>
      <c r="N69" s="10"/>
      <c r="O69" s="10"/>
      <c r="P69" s="10"/>
      <c r="Q69" s="86"/>
      <c r="R69" s="98"/>
    </row>
    <row r="70" spans="1:18" ht="24.75" customHeight="1" hidden="1" outlineLevel="2">
      <c r="A70" s="8" t="s">
        <v>51</v>
      </c>
      <c r="B70" s="53" t="s">
        <v>61</v>
      </c>
      <c r="C70" s="54">
        <v>613</v>
      </c>
      <c r="D70" s="9">
        <f>30900.39/1000</f>
        <v>30.900389999999998</v>
      </c>
      <c r="E70" s="9">
        <v>5.55</v>
      </c>
      <c r="F70" s="9"/>
      <c r="G70" s="9"/>
      <c r="H70" s="9"/>
      <c r="I70" s="9"/>
      <c r="J70" s="10"/>
      <c r="K70" s="10"/>
      <c r="L70" s="10"/>
      <c r="M70" s="10"/>
      <c r="N70" s="10"/>
      <c r="O70" s="10"/>
      <c r="P70" s="10"/>
      <c r="Q70" s="86"/>
      <c r="R70" s="98"/>
    </row>
    <row r="71" spans="1:18" ht="24.75" customHeight="1" hidden="1" outlineLevel="2">
      <c r="A71" s="8" t="s">
        <v>51</v>
      </c>
      <c r="B71" s="53" t="s">
        <v>62</v>
      </c>
      <c r="C71" s="54">
        <v>114</v>
      </c>
      <c r="D71" s="9">
        <f>6010.03/1000</f>
        <v>6.0100299999999995</v>
      </c>
      <c r="E71" s="9">
        <v>5.55</v>
      </c>
      <c r="F71" s="9"/>
      <c r="G71" s="9"/>
      <c r="H71" s="9"/>
      <c r="I71" s="9"/>
      <c r="J71" s="10"/>
      <c r="K71" s="10"/>
      <c r="L71" s="10"/>
      <c r="M71" s="10"/>
      <c r="N71" s="10"/>
      <c r="O71" s="10"/>
      <c r="P71" s="10"/>
      <c r="Q71" s="86"/>
      <c r="R71" s="98"/>
    </row>
    <row r="72" spans="1:18" ht="24.75" customHeight="1" hidden="1" outlineLevel="2">
      <c r="A72" s="8" t="s">
        <v>51</v>
      </c>
      <c r="B72" s="53" t="s">
        <v>63</v>
      </c>
      <c r="C72" s="54">
        <v>125</v>
      </c>
      <c r="D72" s="9">
        <f>6485.73/1000</f>
        <v>6.485729999999999</v>
      </c>
      <c r="E72" s="9">
        <v>5.55</v>
      </c>
      <c r="F72" s="9"/>
      <c r="G72" s="9"/>
      <c r="H72" s="9"/>
      <c r="I72" s="9"/>
      <c r="J72" s="10"/>
      <c r="K72" s="10"/>
      <c r="L72" s="10"/>
      <c r="M72" s="10"/>
      <c r="N72" s="10"/>
      <c r="O72" s="10"/>
      <c r="P72" s="10"/>
      <c r="Q72" s="86"/>
      <c r="R72" s="98"/>
    </row>
    <row r="73" spans="1:18" ht="24.75" customHeight="1" hidden="1" outlineLevel="2">
      <c r="A73" s="8" t="s">
        <v>51</v>
      </c>
      <c r="B73" s="53" t="s">
        <v>64</v>
      </c>
      <c r="C73" s="54">
        <v>136</v>
      </c>
      <c r="D73" s="9">
        <f>6901.3/1000</f>
        <v>6.9013</v>
      </c>
      <c r="E73" s="9">
        <v>5.55</v>
      </c>
      <c r="F73" s="9"/>
      <c r="G73" s="9"/>
      <c r="H73" s="9"/>
      <c r="I73" s="9"/>
      <c r="J73" s="10"/>
      <c r="K73" s="10"/>
      <c r="L73" s="10"/>
      <c r="M73" s="10"/>
      <c r="N73" s="10"/>
      <c r="O73" s="10"/>
      <c r="P73" s="10"/>
      <c r="Q73" s="86"/>
      <c r="R73" s="98"/>
    </row>
    <row r="74" spans="1:18" ht="24.75" customHeight="1" hidden="1" outlineLevel="2">
      <c r="A74" s="8" t="s">
        <v>51</v>
      </c>
      <c r="B74" s="53" t="s">
        <v>65</v>
      </c>
      <c r="C74" s="54">
        <v>232</v>
      </c>
      <c r="D74" s="9">
        <f>12240.55/1000</f>
        <v>12.240549999999999</v>
      </c>
      <c r="E74" s="9">
        <v>5.55</v>
      </c>
      <c r="F74" s="9"/>
      <c r="G74" s="9"/>
      <c r="H74" s="9"/>
      <c r="I74" s="9"/>
      <c r="J74" s="10"/>
      <c r="K74" s="10"/>
      <c r="L74" s="10"/>
      <c r="M74" s="10"/>
      <c r="N74" s="10"/>
      <c r="O74" s="10"/>
      <c r="P74" s="10"/>
      <c r="Q74" s="86"/>
      <c r="R74" s="98"/>
    </row>
    <row r="75" spans="1:18" ht="24.75" customHeight="1" hidden="1" outlineLevel="2">
      <c r="A75" s="8" t="s">
        <v>51</v>
      </c>
      <c r="B75" s="53" t="s">
        <v>66</v>
      </c>
      <c r="C75" s="54">
        <v>362</v>
      </c>
      <c r="D75" s="9">
        <f>16864.75/1000</f>
        <v>16.86475</v>
      </c>
      <c r="E75" s="9">
        <v>5.55</v>
      </c>
      <c r="F75" s="9"/>
      <c r="G75" s="9"/>
      <c r="H75" s="9"/>
      <c r="I75" s="9"/>
      <c r="J75" s="15"/>
      <c r="K75" s="15"/>
      <c r="L75" s="15"/>
      <c r="M75" s="15"/>
      <c r="N75" s="15"/>
      <c r="O75" s="15"/>
      <c r="P75" s="15"/>
      <c r="Q75" s="89"/>
      <c r="R75" s="101"/>
    </row>
    <row r="76" spans="1:18" ht="24.75" customHeight="1" hidden="1" outlineLevel="2">
      <c r="A76" s="8" t="s">
        <v>51</v>
      </c>
      <c r="B76" s="59" t="s">
        <v>67</v>
      </c>
      <c r="C76" s="54">
        <v>992</v>
      </c>
      <c r="D76" s="9">
        <f>47946.7500000001/1000</f>
        <v>47.9467500000001</v>
      </c>
      <c r="E76" s="9">
        <v>5.55</v>
      </c>
      <c r="F76" s="9"/>
      <c r="G76" s="9"/>
      <c r="H76" s="9"/>
      <c r="I76" s="9"/>
      <c r="J76" s="10"/>
      <c r="K76" s="10"/>
      <c r="L76" s="10"/>
      <c r="M76" s="10"/>
      <c r="N76" s="10"/>
      <c r="O76" s="10"/>
      <c r="P76" s="10"/>
      <c r="Q76" s="86"/>
      <c r="R76" s="98"/>
    </row>
    <row r="77" spans="1:18" ht="24.75" customHeight="1" hidden="1" outlineLevel="2">
      <c r="A77" s="8" t="s">
        <v>51</v>
      </c>
      <c r="B77" s="53" t="s">
        <v>68</v>
      </c>
      <c r="C77" s="54">
        <v>110</v>
      </c>
      <c r="D77" s="9">
        <f>5086.2/1000</f>
        <v>5.0862</v>
      </c>
      <c r="E77" s="9">
        <v>5.55</v>
      </c>
      <c r="F77" s="9"/>
      <c r="G77" s="9"/>
      <c r="H77" s="9"/>
      <c r="I77" s="9"/>
      <c r="J77" s="10"/>
      <c r="K77" s="10"/>
      <c r="L77" s="10"/>
      <c r="M77" s="10"/>
      <c r="N77" s="10"/>
      <c r="O77" s="10"/>
      <c r="P77" s="10"/>
      <c r="Q77" s="86"/>
      <c r="R77" s="98"/>
    </row>
    <row r="78" spans="1:18" s="7" customFormat="1" ht="24.75" customHeight="1" hidden="1" outlineLevel="2">
      <c r="A78" s="14" t="s">
        <v>70</v>
      </c>
      <c r="B78" s="53" t="s">
        <v>69</v>
      </c>
      <c r="C78" s="54">
        <v>95</v>
      </c>
      <c r="D78" s="9">
        <f>5014.1/1000</f>
        <v>5.0141</v>
      </c>
      <c r="E78" s="9">
        <v>5.55</v>
      </c>
      <c r="F78" s="9"/>
      <c r="G78" s="9"/>
      <c r="H78" s="9"/>
      <c r="I78" s="9"/>
      <c r="J78" s="10"/>
      <c r="K78" s="10"/>
      <c r="L78" s="10"/>
      <c r="M78" s="10"/>
      <c r="N78" s="10"/>
      <c r="O78" s="10"/>
      <c r="P78" s="10"/>
      <c r="Q78" s="86"/>
      <c r="R78" s="98"/>
    </row>
    <row r="79" spans="1:18" ht="24.75" customHeight="1" hidden="1" outlineLevel="2">
      <c r="A79" s="8"/>
      <c r="B79" s="53" t="s">
        <v>226</v>
      </c>
      <c r="C79" s="54">
        <v>76</v>
      </c>
      <c r="D79" s="9">
        <f>3537.7/1000</f>
        <v>3.5376999999999996</v>
      </c>
      <c r="E79" s="9">
        <v>5.55</v>
      </c>
      <c r="F79" s="9"/>
      <c r="G79" s="9"/>
      <c r="H79" s="9"/>
      <c r="I79" s="9"/>
      <c r="J79" s="56"/>
      <c r="K79" s="56"/>
      <c r="L79" s="56"/>
      <c r="M79" s="56"/>
      <c r="N79" s="56"/>
      <c r="O79" s="56"/>
      <c r="P79" s="56"/>
      <c r="Q79" s="88"/>
      <c r="R79" s="100"/>
    </row>
    <row r="80" spans="1:18" ht="24.75" customHeight="1" hidden="1" outlineLevel="1" collapsed="1">
      <c r="A80" s="8" t="s">
        <v>70</v>
      </c>
      <c r="B80" s="57" t="s">
        <v>70</v>
      </c>
      <c r="C80" s="58">
        <v>9526</v>
      </c>
      <c r="D80" s="56">
        <f>SUM(D81:D92)</f>
        <v>482.236374</v>
      </c>
      <c r="E80" s="9"/>
      <c r="F80" s="9"/>
      <c r="G80" s="9"/>
      <c r="H80" s="9"/>
      <c r="I80" s="9"/>
      <c r="J80" s="15"/>
      <c r="K80" s="15"/>
      <c r="L80" s="15"/>
      <c r="M80" s="15"/>
      <c r="N80" s="15"/>
      <c r="O80" s="15"/>
      <c r="P80" s="15"/>
      <c r="Q80" s="89"/>
      <c r="R80" s="101"/>
    </row>
    <row r="81" spans="1:18" ht="24.75" customHeight="1" hidden="1" outlineLevel="2">
      <c r="A81" s="8" t="s">
        <v>70</v>
      </c>
      <c r="B81" s="59" t="s">
        <v>70</v>
      </c>
      <c r="C81" s="54">
        <v>3656</v>
      </c>
      <c r="D81" s="9">
        <f>186729.694/1000</f>
        <v>186.729694</v>
      </c>
      <c r="E81" s="9">
        <v>5.55</v>
      </c>
      <c r="F81" s="9"/>
      <c r="G81" s="9"/>
      <c r="H81" s="9"/>
      <c r="I81" s="9"/>
      <c r="J81" s="10"/>
      <c r="K81" s="10"/>
      <c r="L81" s="10"/>
      <c r="M81" s="10"/>
      <c r="N81" s="10"/>
      <c r="O81" s="10"/>
      <c r="P81" s="10"/>
      <c r="Q81" s="86"/>
      <c r="R81" s="98"/>
    </row>
    <row r="82" spans="1:18" ht="24.75" customHeight="1" hidden="1" outlineLevel="2">
      <c r="A82" s="8" t="s">
        <v>70</v>
      </c>
      <c r="B82" s="53" t="s">
        <v>71</v>
      </c>
      <c r="C82" s="54">
        <v>76</v>
      </c>
      <c r="D82" s="9">
        <f>3350.64/1000</f>
        <v>3.35064</v>
      </c>
      <c r="E82" s="9">
        <v>5.55</v>
      </c>
      <c r="F82" s="9"/>
      <c r="G82" s="9"/>
      <c r="H82" s="9"/>
      <c r="I82" s="9"/>
      <c r="J82" s="10"/>
      <c r="K82" s="10"/>
      <c r="L82" s="10"/>
      <c r="M82" s="10"/>
      <c r="N82" s="10"/>
      <c r="O82" s="10"/>
      <c r="P82" s="10"/>
      <c r="Q82" s="86"/>
      <c r="R82" s="98"/>
    </row>
    <row r="83" spans="1:18" ht="24.75" customHeight="1" hidden="1" outlineLevel="2">
      <c r="A83" s="8" t="s">
        <v>70</v>
      </c>
      <c r="B83" s="53" t="s">
        <v>72</v>
      </c>
      <c r="C83" s="54">
        <v>672</v>
      </c>
      <c r="D83" s="9">
        <f>32602.67/1000</f>
        <v>32.602669999999996</v>
      </c>
      <c r="E83" s="9">
        <v>5.55</v>
      </c>
      <c r="F83" s="9"/>
      <c r="G83" s="9"/>
      <c r="H83" s="9"/>
      <c r="I83" s="9"/>
      <c r="J83" s="10"/>
      <c r="K83" s="10"/>
      <c r="L83" s="10"/>
      <c r="M83" s="10"/>
      <c r="N83" s="10"/>
      <c r="O83" s="10"/>
      <c r="P83" s="10"/>
      <c r="Q83" s="86"/>
      <c r="R83" s="98"/>
    </row>
    <row r="84" spans="1:18" ht="24.75" customHeight="1" hidden="1" outlineLevel="2">
      <c r="A84" s="8" t="s">
        <v>70</v>
      </c>
      <c r="B84" s="53" t="s">
        <v>73</v>
      </c>
      <c r="C84" s="54">
        <v>751</v>
      </c>
      <c r="D84" s="9">
        <f>37457.35/1000</f>
        <v>37.45735</v>
      </c>
      <c r="E84" s="9">
        <v>5.55</v>
      </c>
      <c r="F84" s="9"/>
      <c r="G84" s="9"/>
      <c r="H84" s="9"/>
      <c r="I84" s="9"/>
      <c r="J84" s="10"/>
      <c r="K84" s="10"/>
      <c r="L84" s="10"/>
      <c r="M84" s="10"/>
      <c r="N84" s="10"/>
      <c r="O84" s="10"/>
      <c r="P84" s="10"/>
      <c r="Q84" s="86"/>
      <c r="R84" s="98"/>
    </row>
    <row r="85" spans="1:18" ht="24.75" customHeight="1" hidden="1" outlineLevel="2">
      <c r="A85" s="8" t="s">
        <v>70</v>
      </c>
      <c r="B85" s="53" t="s">
        <v>74</v>
      </c>
      <c r="C85" s="54">
        <v>257</v>
      </c>
      <c r="D85" s="9">
        <f>12486.65/1000</f>
        <v>12.48665</v>
      </c>
      <c r="E85" s="9">
        <v>5.55</v>
      </c>
      <c r="F85" s="9"/>
      <c r="G85" s="9"/>
      <c r="H85" s="9"/>
      <c r="I85" s="9"/>
      <c r="J85" s="10"/>
      <c r="K85" s="10"/>
      <c r="L85" s="10"/>
      <c r="M85" s="10"/>
      <c r="N85" s="10"/>
      <c r="O85" s="10"/>
      <c r="P85" s="10"/>
      <c r="Q85" s="86"/>
      <c r="R85" s="98"/>
    </row>
    <row r="86" spans="1:18" ht="24.75" customHeight="1" hidden="1" outlineLevel="2">
      <c r="A86" s="8" t="s">
        <v>70</v>
      </c>
      <c r="B86" s="53" t="s">
        <v>75</v>
      </c>
      <c r="C86" s="54">
        <v>212</v>
      </c>
      <c r="D86" s="9">
        <f>8910.09/1000</f>
        <v>8.91009</v>
      </c>
      <c r="E86" s="9">
        <v>5.55</v>
      </c>
      <c r="F86" s="9"/>
      <c r="G86" s="9"/>
      <c r="H86" s="9"/>
      <c r="I86" s="9"/>
      <c r="J86" s="10"/>
      <c r="K86" s="10"/>
      <c r="L86" s="10"/>
      <c r="M86" s="10"/>
      <c r="N86" s="10"/>
      <c r="O86" s="10"/>
      <c r="P86" s="10"/>
      <c r="Q86" s="86"/>
      <c r="R86" s="98"/>
    </row>
    <row r="87" spans="1:18" ht="24.75" customHeight="1" hidden="1" outlineLevel="2">
      <c r="A87" s="8" t="s">
        <v>70</v>
      </c>
      <c r="B87" s="53" t="s">
        <v>76</v>
      </c>
      <c r="C87" s="54">
        <v>211</v>
      </c>
      <c r="D87" s="9">
        <f>9509.51/1000</f>
        <v>9.50951</v>
      </c>
      <c r="E87" s="9">
        <v>5.55</v>
      </c>
      <c r="F87" s="9"/>
      <c r="G87" s="9"/>
      <c r="H87" s="9"/>
      <c r="I87" s="9"/>
      <c r="J87" s="10"/>
      <c r="K87" s="10"/>
      <c r="L87" s="10"/>
      <c r="M87" s="10"/>
      <c r="N87" s="10"/>
      <c r="O87" s="10"/>
      <c r="P87" s="10"/>
      <c r="Q87" s="86"/>
      <c r="R87" s="98"/>
    </row>
    <row r="88" spans="1:18" ht="24.75" customHeight="1" hidden="1" outlineLevel="2">
      <c r="A88" s="8" t="s">
        <v>70</v>
      </c>
      <c r="B88" s="53" t="s">
        <v>77</v>
      </c>
      <c r="C88" s="54">
        <v>727</v>
      </c>
      <c r="D88" s="9">
        <f>34623.6/1000</f>
        <v>34.623599999999996</v>
      </c>
      <c r="E88" s="9">
        <v>5.55</v>
      </c>
      <c r="F88" s="9"/>
      <c r="G88" s="9"/>
      <c r="H88" s="9"/>
      <c r="I88" s="9"/>
      <c r="J88" s="10"/>
      <c r="K88" s="10"/>
      <c r="L88" s="10"/>
      <c r="M88" s="10"/>
      <c r="N88" s="10"/>
      <c r="O88" s="10"/>
      <c r="P88" s="10"/>
      <c r="Q88" s="86"/>
      <c r="R88" s="98"/>
    </row>
    <row r="89" spans="1:18" ht="24.75" customHeight="1" hidden="1" outlineLevel="2">
      <c r="A89" s="8" t="s">
        <v>70</v>
      </c>
      <c r="B89" s="53" t="s">
        <v>78</v>
      </c>
      <c r="C89" s="54">
        <v>705</v>
      </c>
      <c r="D89" s="9">
        <f>34373.6/1000</f>
        <v>34.373599999999996</v>
      </c>
      <c r="E89" s="9">
        <v>5.55</v>
      </c>
      <c r="F89" s="9"/>
      <c r="G89" s="9"/>
      <c r="H89" s="9"/>
      <c r="I89" s="9"/>
      <c r="J89" s="10"/>
      <c r="K89" s="10"/>
      <c r="L89" s="10"/>
      <c r="M89" s="10"/>
      <c r="N89" s="10"/>
      <c r="O89" s="10"/>
      <c r="P89" s="10"/>
      <c r="Q89" s="86"/>
      <c r="R89" s="98"/>
    </row>
    <row r="90" spans="1:18" ht="24.75" customHeight="1" hidden="1" outlineLevel="2">
      <c r="A90" s="8" t="s">
        <v>70</v>
      </c>
      <c r="B90" s="53" t="s">
        <v>79</v>
      </c>
      <c r="C90" s="54">
        <v>1449</v>
      </c>
      <c r="D90" s="9">
        <f>81972.92/1000</f>
        <v>81.97292</v>
      </c>
      <c r="E90" s="9">
        <v>5.55</v>
      </c>
      <c r="F90" s="9"/>
      <c r="G90" s="9"/>
      <c r="H90" s="9"/>
      <c r="I90" s="9"/>
      <c r="J90" s="10"/>
      <c r="K90" s="10"/>
      <c r="L90" s="10"/>
      <c r="M90" s="10"/>
      <c r="N90" s="10"/>
      <c r="O90" s="10"/>
      <c r="P90" s="10"/>
      <c r="Q90" s="86"/>
      <c r="R90" s="98"/>
    </row>
    <row r="91" spans="1:18" s="7" customFormat="1" ht="24.75" customHeight="1" hidden="1" outlineLevel="2">
      <c r="A91" s="14" t="s">
        <v>82</v>
      </c>
      <c r="B91" s="53" t="s">
        <v>80</v>
      </c>
      <c r="C91" s="54">
        <v>434</v>
      </c>
      <c r="D91" s="9">
        <f>21182.42/1000</f>
        <v>21.182419999999997</v>
      </c>
      <c r="E91" s="9">
        <v>5.55</v>
      </c>
      <c r="F91" s="9"/>
      <c r="G91" s="9"/>
      <c r="H91" s="9"/>
      <c r="I91" s="9"/>
      <c r="J91" s="10"/>
      <c r="K91" s="10"/>
      <c r="L91" s="10"/>
      <c r="M91" s="10"/>
      <c r="N91" s="10"/>
      <c r="O91" s="10"/>
      <c r="P91" s="10"/>
      <c r="Q91" s="86"/>
      <c r="R91" s="98"/>
    </row>
    <row r="92" spans="1:18" ht="24.75" customHeight="1" hidden="1" outlineLevel="2">
      <c r="A92" s="8"/>
      <c r="B92" s="53" t="s">
        <v>81</v>
      </c>
      <c r="C92" s="54">
        <v>376</v>
      </c>
      <c r="D92" s="9">
        <f>19037.23/1000</f>
        <v>19.03723</v>
      </c>
      <c r="E92" s="9">
        <v>5.55</v>
      </c>
      <c r="F92" s="9"/>
      <c r="G92" s="9"/>
      <c r="H92" s="9"/>
      <c r="I92" s="9"/>
      <c r="J92" s="56"/>
      <c r="K92" s="56"/>
      <c r="L92" s="56"/>
      <c r="M92" s="56"/>
      <c r="N92" s="56"/>
      <c r="O92" s="56"/>
      <c r="P92" s="56"/>
      <c r="Q92" s="88"/>
      <c r="R92" s="100"/>
    </row>
    <row r="93" spans="1:18" ht="24.75" customHeight="1" hidden="1" outlineLevel="1" collapsed="1">
      <c r="A93" s="8" t="s">
        <v>82</v>
      </c>
      <c r="B93" s="57" t="s">
        <v>82</v>
      </c>
      <c r="C93" s="58">
        <v>7738</v>
      </c>
      <c r="D93" s="56">
        <f>SUM(D94:D111)</f>
        <v>392.85772999999995</v>
      </c>
      <c r="E93" s="9"/>
      <c r="F93" s="9"/>
      <c r="G93" s="9"/>
      <c r="H93" s="9"/>
      <c r="I93" s="9"/>
      <c r="J93" s="10"/>
      <c r="K93" s="10"/>
      <c r="L93" s="10"/>
      <c r="M93" s="10"/>
      <c r="N93" s="10"/>
      <c r="O93" s="10"/>
      <c r="P93" s="10"/>
      <c r="Q93" s="86"/>
      <c r="R93" s="98"/>
    </row>
    <row r="94" spans="1:18" ht="24.75" customHeight="1" hidden="1" outlineLevel="2">
      <c r="A94" s="8" t="s">
        <v>82</v>
      </c>
      <c r="B94" s="53" t="s">
        <v>82</v>
      </c>
      <c r="C94" s="54">
        <v>64</v>
      </c>
      <c r="D94" s="9">
        <f>6512.5/1000</f>
        <v>6.5125</v>
      </c>
      <c r="E94" s="9">
        <v>5.55</v>
      </c>
      <c r="F94" s="9"/>
      <c r="G94" s="9"/>
      <c r="H94" s="9"/>
      <c r="I94" s="9"/>
      <c r="J94" s="15"/>
      <c r="K94" s="15"/>
      <c r="L94" s="15"/>
      <c r="M94" s="15"/>
      <c r="N94" s="15"/>
      <c r="O94" s="15"/>
      <c r="P94" s="15"/>
      <c r="Q94" s="89"/>
      <c r="R94" s="101"/>
    </row>
    <row r="95" spans="1:18" ht="24.75" customHeight="1" hidden="1" outlineLevel="2">
      <c r="A95" s="8" t="s">
        <v>82</v>
      </c>
      <c r="B95" s="59" t="s">
        <v>83</v>
      </c>
      <c r="C95" s="54">
        <v>2695</v>
      </c>
      <c r="D95" s="9">
        <f>139649.94/1000</f>
        <v>139.64994000000002</v>
      </c>
      <c r="E95" s="9" t="s">
        <v>2</v>
      </c>
      <c r="F95" s="9"/>
      <c r="G95" s="9"/>
      <c r="H95" s="9"/>
      <c r="I95" s="9"/>
      <c r="J95" s="10"/>
      <c r="K95" s="10"/>
      <c r="L95" s="10"/>
      <c r="M95" s="10"/>
      <c r="N95" s="10"/>
      <c r="O95" s="10"/>
      <c r="P95" s="10"/>
      <c r="Q95" s="86"/>
      <c r="R95" s="98"/>
    </row>
    <row r="96" spans="1:18" ht="24.75" customHeight="1" hidden="1" outlineLevel="2">
      <c r="A96" s="8" t="s">
        <v>82</v>
      </c>
      <c r="B96" s="53" t="s">
        <v>84</v>
      </c>
      <c r="C96" s="54">
        <v>222</v>
      </c>
      <c r="D96" s="9">
        <f>11064.46/1000</f>
        <v>11.064459999999999</v>
      </c>
      <c r="E96" s="9">
        <v>5.55</v>
      </c>
      <c r="F96" s="9"/>
      <c r="G96" s="9"/>
      <c r="H96" s="9"/>
      <c r="I96" s="9"/>
      <c r="J96" s="10"/>
      <c r="K96" s="10"/>
      <c r="L96" s="10"/>
      <c r="M96" s="10"/>
      <c r="N96" s="10"/>
      <c r="O96" s="10"/>
      <c r="P96" s="10"/>
      <c r="Q96" s="86"/>
      <c r="R96" s="98"/>
    </row>
    <row r="97" spans="1:18" ht="24.75" customHeight="1" hidden="1" outlineLevel="2">
      <c r="A97" s="8" t="s">
        <v>82</v>
      </c>
      <c r="B97" s="53" t="s">
        <v>85</v>
      </c>
      <c r="C97" s="54">
        <v>260</v>
      </c>
      <c r="D97" s="9">
        <f>12428.03/1000</f>
        <v>12.428030000000001</v>
      </c>
      <c r="E97" s="9">
        <v>5.55</v>
      </c>
      <c r="F97" s="9"/>
      <c r="G97" s="9"/>
      <c r="H97" s="9"/>
      <c r="I97" s="9"/>
      <c r="J97" s="10"/>
      <c r="K97" s="10"/>
      <c r="L97" s="10"/>
      <c r="M97" s="10"/>
      <c r="N97" s="10"/>
      <c r="O97" s="10"/>
      <c r="P97" s="10"/>
      <c r="Q97" s="86"/>
      <c r="R97" s="98"/>
    </row>
    <row r="98" spans="1:18" ht="24.75" customHeight="1" hidden="1" outlineLevel="2">
      <c r="A98" s="8" t="s">
        <v>82</v>
      </c>
      <c r="B98" s="53" t="s">
        <v>86</v>
      </c>
      <c r="C98" s="54">
        <v>253</v>
      </c>
      <c r="D98" s="9">
        <f>13446.99/1000</f>
        <v>13.44699</v>
      </c>
      <c r="E98" s="9">
        <v>5.55</v>
      </c>
      <c r="F98" s="9"/>
      <c r="G98" s="9"/>
      <c r="H98" s="9"/>
      <c r="I98" s="9"/>
      <c r="J98" s="10"/>
      <c r="K98" s="10"/>
      <c r="L98" s="10"/>
      <c r="M98" s="10"/>
      <c r="N98" s="10"/>
      <c r="O98" s="10"/>
      <c r="P98" s="10"/>
      <c r="Q98" s="86"/>
      <c r="R98" s="98"/>
    </row>
    <row r="99" spans="1:18" ht="24.75" customHeight="1" hidden="1" outlineLevel="2">
      <c r="A99" s="8" t="s">
        <v>82</v>
      </c>
      <c r="B99" s="53" t="s">
        <v>87</v>
      </c>
      <c r="C99" s="54">
        <v>345</v>
      </c>
      <c r="D99" s="9">
        <f>14538.96/1000</f>
        <v>14.53896</v>
      </c>
      <c r="E99" s="9">
        <v>5.55</v>
      </c>
      <c r="F99" s="9"/>
      <c r="G99" s="9"/>
      <c r="H99" s="9"/>
      <c r="I99" s="9"/>
      <c r="J99" s="10"/>
      <c r="K99" s="10"/>
      <c r="L99" s="10"/>
      <c r="M99" s="10"/>
      <c r="N99" s="10"/>
      <c r="O99" s="10"/>
      <c r="P99" s="10"/>
      <c r="Q99" s="86"/>
      <c r="R99" s="98"/>
    </row>
    <row r="100" spans="1:18" ht="24.75" customHeight="1" hidden="1" outlineLevel="2">
      <c r="A100" s="8" t="s">
        <v>82</v>
      </c>
      <c r="B100" s="53" t="s">
        <v>88</v>
      </c>
      <c r="C100" s="54">
        <v>330</v>
      </c>
      <c r="D100" s="9">
        <f>14391.88/1000</f>
        <v>14.391879999999999</v>
      </c>
      <c r="E100" s="9" t="s">
        <v>2</v>
      </c>
      <c r="F100" s="9"/>
      <c r="G100" s="9"/>
      <c r="H100" s="9"/>
      <c r="I100" s="9"/>
      <c r="J100" s="10"/>
      <c r="K100" s="10"/>
      <c r="L100" s="10"/>
      <c r="M100" s="10"/>
      <c r="N100" s="10"/>
      <c r="O100" s="10"/>
      <c r="P100" s="10"/>
      <c r="Q100" s="86"/>
      <c r="R100" s="98"/>
    </row>
    <row r="101" spans="1:18" ht="24.75" customHeight="1" hidden="1" outlineLevel="2">
      <c r="A101" s="8" t="s">
        <v>82</v>
      </c>
      <c r="B101" s="53" t="s">
        <v>89</v>
      </c>
      <c r="C101" s="54">
        <v>281</v>
      </c>
      <c r="D101" s="9">
        <f>14090.6/1000</f>
        <v>14.0906</v>
      </c>
      <c r="E101" s="9">
        <v>5.55</v>
      </c>
      <c r="F101" s="9"/>
      <c r="G101" s="9"/>
      <c r="H101" s="9"/>
      <c r="I101" s="9"/>
      <c r="J101" s="10"/>
      <c r="K101" s="10"/>
      <c r="L101" s="10"/>
      <c r="M101" s="10"/>
      <c r="N101" s="10"/>
      <c r="O101" s="10"/>
      <c r="P101" s="10"/>
      <c r="Q101" s="86"/>
      <c r="R101" s="98"/>
    </row>
    <row r="102" spans="1:18" ht="24.75" customHeight="1" hidden="1" outlineLevel="2">
      <c r="A102" s="8" t="s">
        <v>82</v>
      </c>
      <c r="B102" s="53" t="s">
        <v>90</v>
      </c>
      <c r="C102" s="54">
        <v>166</v>
      </c>
      <c r="D102" s="9">
        <f>8128.25/1000</f>
        <v>8.12825</v>
      </c>
      <c r="E102" s="9">
        <v>5.55</v>
      </c>
      <c r="F102" s="9"/>
      <c r="G102" s="9"/>
      <c r="H102" s="9"/>
      <c r="I102" s="9"/>
      <c r="J102" s="10"/>
      <c r="K102" s="10"/>
      <c r="L102" s="10"/>
      <c r="M102" s="10"/>
      <c r="N102" s="10"/>
      <c r="O102" s="10"/>
      <c r="P102" s="10"/>
      <c r="Q102" s="86"/>
      <c r="R102" s="98"/>
    </row>
    <row r="103" spans="1:18" ht="24.75" customHeight="1" hidden="1" outlineLevel="2">
      <c r="A103" s="8" t="s">
        <v>82</v>
      </c>
      <c r="B103" s="53" t="s">
        <v>91</v>
      </c>
      <c r="C103" s="54">
        <v>673</v>
      </c>
      <c r="D103" s="9">
        <f>39261.89/1000</f>
        <v>39.26189</v>
      </c>
      <c r="E103" s="9">
        <v>5.55</v>
      </c>
      <c r="F103" s="9"/>
      <c r="G103" s="9"/>
      <c r="H103" s="9"/>
      <c r="I103" s="9"/>
      <c r="J103" s="10"/>
      <c r="K103" s="10"/>
      <c r="L103" s="10"/>
      <c r="M103" s="10"/>
      <c r="N103" s="10"/>
      <c r="O103" s="10"/>
      <c r="P103" s="10"/>
      <c r="Q103" s="86"/>
      <c r="R103" s="98"/>
    </row>
    <row r="104" spans="1:18" ht="24.75" customHeight="1" hidden="1" outlineLevel="2">
      <c r="A104" s="8" t="s">
        <v>82</v>
      </c>
      <c r="B104" s="53" t="s">
        <v>92</v>
      </c>
      <c r="C104" s="54">
        <v>342</v>
      </c>
      <c r="D104" s="9">
        <f>16682.46/1000</f>
        <v>16.68246</v>
      </c>
      <c r="E104" s="9">
        <v>5.55</v>
      </c>
      <c r="F104" s="9"/>
      <c r="G104" s="9"/>
      <c r="H104" s="9"/>
      <c r="I104" s="9"/>
      <c r="J104" s="10"/>
      <c r="K104" s="10"/>
      <c r="L104" s="10"/>
      <c r="M104" s="10"/>
      <c r="N104" s="10"/>
      <c r="O104" s="10"/>
      <c r="P104" s="10"/>
      <c r="Q104" s="86"/>
      <c r="R104" s="98"/>
    </row>
    <row r="105" spans="1:18" ht="24.75" customHeight="1" hidden="1" outlineLevel="2">
      <c r="A105" s="8" t="s">
        <v>82</v>
      </c>
      <c r="B105" s="53" t="s">
        <v>93</v>
      </c>
      <c r="C105" s="54">
        <v>290</v>
      </c>
      <c r="D105" s="9">
        <f>14069.24/1000</f>
        <v>14.06924</v>
      </c>
      <c r="E105" s="9">
        <v>5.55</v>
      </c>
      <c r="F105" s="9"/>
      <c r="G105" s="9"/>
      <c r="H105" s="9"/>
      <c r="I105" s="9"/>
      <c r="J105" s="10"/>
      <c r="K105" s="10"/>
      <c r="L105" s="10"/>
      <c r="M105" s="10"/>
      <c r="N105" s="10"/>
      <c r="O105" s="10"/>
      <c r="P105" s="10"/>
      <c r="Q105" s="86"/>
      <c r="R105" s="98"/>
    </row>
    <row r="106" spans="1:18" ht="24.75" customHeight="1" hidden="1" outlineLevel="2">
      <c r="A106" s="8" t="s">
        <v>82</v>
      </c>
      <c r="B106" s="53" t="s">
        <v>94</v>
      </c>
      <c r="C106" s="54">
        <v>319</v>
      </c>
      <c r="D106" s="9">
        <f>16182.95/1000</f>
        <v>16.18295</v>
      </c>
      <c r="E106" s="9">
        <v>5.55</v>
      </c>
      <c r="F106" s="9"/>
      <c r="G106" s="9"/>
      <c r="H106" s="9"/>
      <c r="I106" s="9"/>
      <c r="J106" s="10"/>
      <c r="K106" s="10"/>
      <c r="L106" s="10"/>
      <c r="M106" s="10"/>
      <c r="N106" s="10"/>
      <c r="O106" s="10"/>
      <c r="P106" s="10"/>
      <c r="Q106" s="86"/>
      <c r="R106" s="98"/>
    </row>
    <row r="107" spans="1:18" ht="24.75" customHeight="1" hidden="1" outlineLevel="2">
      <c r="A107" s="8" t="s">
        <v>82</v>
      </c>
      <c r="B107" s="53" t="s">
        <v>95</v>
      </c>
      <c r="C107" s="54">
        <v>164</v>
      </c>
      <c r="D107" s="9">
        <f>8820.12/1000</f>
        <v>8.820120000000001</v>
      </c>
      <c r="E107" s="9">
        <v>5.55</v>
      </c>
      <c r="F107" s="9"/>
      <c r="G107" s="9"/>
      <c r="H107" s="9"/>
      <c r="I107" s="9"/>
      <c r="J107" s="10"/>
      <c r="K107" s="10"/>
      <c r="L107" s="10"/>
      <c r="M107" s="10"/>
      <c r="N107" s="10"/>
      <c r="O107" s="10"/>
      <c r="P107" s="10"/>
      <c r="Q107" s="86"/>
      <c r="R107" s="98"/>
    </row>
    <row r="108" spans="1:18" ht="24.75" customHeight="1" hidden="1" outlineLevel="2">
      <c r="A108" s="8" t="s">
        <v>82</v>
      </c>
      <c r="B108" s="53" t="s">
        <v>96</v>
      </c>
      <c r="C108" s="54">
        <v>737</v>
      </c>
      <c r="D108" s="9">
        <f>35490.37/1000</f>
        <v>35.490370000000006</v>
      </c>
      <c r="E108" s="9">
        <v>5.55</v>
      </c>
      <c r="F108" s="9"/>
      <c r="G108" s="9"/>
      <c r="H108" s="9"/>
      <c r="I108" s="9"/>
      <c r="J108" s="10"/>
      <c r="K108" s="10"/>
      <c r="L108" s="10"/>
      <c r="M108" s="10"/>
      <c r="N108" s="10"/>
      <c r="O108" s="10"/>
      <c r="P108" s="10"/>
      <c r="Q108" s="86"/>
      <c r="R108" s="98"/>
    </row>
    <row r="109" spans="1:18" ht="24.75" customHeight="1" hidden="1" outlineLevel="2">
      <c r="A109" s="8" t="s">
        <v>82</v>
      </c>
      <c r="B109" s="53" t="s">
        <v>97</v>
      </c>
      <c r="C109" s="54">
        <v>172</v>
      </c>
      <c r="D109" s="9">
        <f>8495.24/1000</f>
        <v>8.495239999999999</v>
      </c>
      <c r="E109" s="9">
        <v>5.55</v>
      </c>
      <c r="F109" s="9"/>
      <c r="G109" s="9"/>
      <c r="H109" s="9"/>
      <c r="I109" s="9"/>
      <c r="J109" s="10"/>
      <c r="K109" s="10"/>
      <c r="L109" s="10"/>
      <c r="M109" s="10"/>
      <c r="N109" s="10"/>
      <c r="O109" s="10"/>
      <c r="P109" s="10"/>
      <c r="Q109" s="86"/>
      <c r="R109" s="98"/>
    </row>
    <row r="110" spans="1:18" s="7" customFormat="1" ht="24.75" customHeight="1" hidden="1" outlineLevel="2">
      <c r="A110" s="14" t="s">
        <v>100</v>
      </c>
      <c r="B110" s="53" t="s">
        <v>98</v>
      </c>
      <c r="C110" s="54">
        <v>238</v>
      </c>
      <c r="D110" s="9">
        <f>11137.3/1000</f>
        <v>11.1373</v>
      </c>
      <c r="E110" s="9">
        <v>5.55</v>
      </c>
      <c r="F110" s="9"/>
      <c r="G110" s="9"/>
      <c r="H110" s="9"/>
      <c r="I110" s="9"/>
      <c r="J110" s="10"/>
      <c r="K110" s="10"/>
      <c r="L110" s="10"/>
      <c r="M110" s="10"/>
      <c r="N110" s="10"/>
      <c r="O110" s="10"/>
      <c r="P110" s="10"/>
      <c r="Q110" s="86"/>
      <c r="R110" s="98"/>
    </row>
    <row r="111" spans="1:18" ht="24.75" customHeight="1" hidden="1" outlineLevel="2">
      <c r="A111" s="8"/>
      <c r="B111" s="53" t="s">
        <v>99</v>
      </c>
      <c r="C111" s="54">
        <v>187</v>
      </c>
      <c r="D111" s="9">
        <f>8466.55/1000</f>
        <v>8.46655</v>
      </c>
      <c r="E111" s="9">
        <v>5.55</v>
      </c>
      <c r="F111" s="9"/>
      <c r="G111" s="9"/>
      <c r="H111" s="9"/>
      <c r="I111" s="9"/>
      <c r="J111" s="56"/>
      <c r="K111" s="56"/>
      <c r="L111" s="56"/>
      <c r="M111" s="56"/>
      <c r="N111" s="56"/>
      <c r="O111" s="56"/>
      <c r="P111" s="56"/>
      <c r="Q111" s="88"/>
      <c r="R111" s="100"/>
    </row>
    <row r="112" spans="1:18" ht="24.75" customHeight="1" hidden="1" outlineLevel="1" collapsed="1">
      <c r="A112" s="8" t="s">
        <v>100</v>
      </c>
      <c r="B112" s="57" t="s">
        <v>100</v>
      </c>
      <c r="C112" s="58">
        <v>1750</v>
      </c>
      <c r="D112" s="56">
        <f>SUM(D113:D123)</f>
        <v>88.90447400000009</v>
      </c>
      <c r="E112" s="9"/>
      <c r="F112" s="9"/>
      <c r="G112" s="9"/>
      <c r="H112" s="9"/>
      <c r="I112" s="9"/>
      <c r="J112" s="10"/>
      <c r="K112" s="10"/>
      <c r="L112" s="10"/>
      <c r="M112" s="10"/>
      <c r="N112" s="10"/>
      <c r="O112" s="10"/>
      <c r="P112" s="10"/>
      <c r="Q112" s="86"/>
      <c r="R112" s="98"/>
    </row>
    <row r="113" spans="1:18" ht="24.75" customHeight="1" hidden="1" outlineLevel="2">
      <c r="A113" s="8" t="s">
        <v>100</v>
      </c>
      <c r="B113" s="53" t="s">
        <v>100</v>
      </c>
      <c r="C113" s="54">
        <v>45</v>
      </c>
      <c r="D113" s="9">
        <f>2151.2/1000</f>
        <v>2.1512</v>
      </c>
      <c r="E113" s="9">
        <v>5.55</v>
      </c>
      <c r="F113" s="9"/>
      <c r="G113" s="9"/>
      <c r="H113" s="9"/>
      <c r="I113" s="9"/>
      <c r="J113" s="10"/>
      <c r="K113" s="10"/>
      <c r="L113" s="10"/>
      <c r="M113" s="10"/>
      <c r="N113" s="10"/>
      <c r="O113" s="10"/>
      <c r="P113" s="10"/>
      <c r="Q113" s="86"/>
      <c r="R113" s="98"/>
    </row>
    <row r="114" spans="1:18" ht="24.75" customHeight="1" hidden="1" outlineLevel="2">
      <c r="A114" s="8" t="s">
        <v>100</v>
      </c>
      <c r="B114" s="53" t="s">
        <v>101</v>
      </c>
      <c r="C114" s="54">
        <v>899</v>
      </c>
      <c r="D114" s="9">
        <f>47122.9940000001/1000</f>
        <v>47.1229940000001</v>
      </c>
      <c r="E114" s="9">
        <v>5.55</v>
      </c>
      <c r="F114" s="9"/>
      <c r="G114" s="9"/>
      <c r="H114" s="9"/>
      <c r="I114" s="9"/>
      <c r="J114" s="10"/>
      <c r="K114" s="10"/>
      <c r="L114" s="10"/>
      <c r="M114" s="10"/>
      <c r="N114" s="10"/>
      <c r="O114" s="10"/>
      <c r="P114" s="10"/>
      <c r="Q114" s="86"/>
      <c r="R114" s="98"/>
    </row>
    <row r="115" spans="1:18" ht="24.75" customHeight="1" hidden="1" outlineLevel="2">
      <c r="A115" s="8" t="s">
        <v>100</v>
      </c>
      <c r="B115" s="53" t="s">
        <v>102</v>
      </c>
      <c r="C115" s="54">
        <v>111</v>
      </c>
      <c r="D115" s="9">
        <f>5997.56/1000</f>
        <v>5.99756</v>
      </c>
      <c r="E115" s="9">
        <v>5.55</v>
      </c>
      <c r="F115" s="9"/>
      <c r="G115" s="9"/>
      <c r="H115" s="9"/>
      <c r="I115" s="9"/>
      <c r="J115" s="10"/>
      <c r="K115" s="10"/>
      <c r="L115" s="10"/>
      <c r="M115" s="10"/>
      <c r="N115" s="10"/>
      <c r="O115" s="10"/>
      <c r="P115" s="10"/>
      <c r="Q115" s="86"/>
      <c r="R115" s="98"/>
    </row>
    <row r="116" spans="1:18" ht="24.75" customHeight="1" hidden="1" outlineLevel="2">
      <c r="A116" s="8" t="s">
        <v>100</v>
      </c>
      <c r="B116" s="53" t="s">
        <v>103</v>
      </c>
      <c r="C116" s="54">
        <v>16</v>
      </c>
      <c r="D116" s="9">
        <f>535.7/1000</f>
        <v>0.5357000000000001</v>
      </c>
      <c r="E116" s="9">
        <v>5.55</v>
      </c>
      <c r="F116" s="9"/>
      <c r="G116" s="9"/>
      <c r="H116" s="9"/>
      <c r="I116" s="9"/>
      <c r="J116" s="15"/>
      <c r="K116" s="15"/>
      <c r="L116" s="15"/>
      <c r="M116" s="15"/>
      <c r="N116" s="15"/>
      <c r="O116" s="15"/>
      <c r="P116" s="15"/>
      <c r="Q116" s="89"/>
      <c r="R116" s="101"/>
    </row>
    <row r="117" spans="1:18" ht="24.75" customHeight="1" hidden="1" outlineLevel="2">
      <c r="A117" s="8" t="s">
        <v>100</v>
      </c>
      <c r="B117" s="59" t="s">
        <v>104</v>
      </c>
      <c r="C117" s="54">
        <v>251</v>
      </c>
      <c r="D117" s="9">
        <f>12909.74/1000</f>
        <v>12.90974</v>
      </c>
      <c r="E117" s="9">
        <v>5.55</v>
      </c>
      <c r="F117" s="9"/>
      <c r="G117" s="9"/>
      <c r="H117" s="9"/>
      <c r="I117" s="9"/>
      <c r="J117" s="10"/>
      <c r="K117" s="10"/>
      <c r="L117" s="10"/>
      <c r="M117" s="10"/>
      <c r="N117" s="10"/>
      <c r="O117" s="10"/>
      <c r="P117" s="10"/>
      <c r="Q117" s="86"/>
      <c r="R117" s="98"/>
    </row>
    <row r="118" spans="1:18" ht="24.75" customHeight="1" hidden="1" outlineLevel="2">
      <c r="A118" s="8" t="s">
        <v>100</v>
      </c>
      <c r="B118" s="53" t="s">
        <v>105</v>
      </c>
      <c r="C118" s="54">
        <v>102</v>
      </c>
      <c r="D118" s="9">
        <f>4820.9/1000</f>
        <v>4.8209</v>
      </c>
      <c r="E118" s="9">
        <v>5.55</v>
      </c>
      <c r="F118" s="9"/>
      <c r="G118" s="9"/>
      <c r="H118" s="9"/>
      <c r="I118" s="9"/>
      <c r="J118" s="10"/>
      <c r="K118" s="10"/>
      <c r="L118" s="10"/>
      <c r="M118" s="10"/>
      <c r="N118" s="10"/>
      <c r="O118" s="10"/>
      <c r="P118" s="10"/>
      <c r="Q118" s="86"/>
      <c r="R118" s="98"/>
    </row>
    <row r="119" spans="1:18" ht="24.75" customHeight="1" hidden="1" outlineLevel="2">
      <c r="A119" s="8" t="s">
        <v>100</v>
      </c>
      <c r="B119" s="53" t="s">
        <v>106</v>
      </c>
      <c r="C119" s="54">
        <v>40</v>
      </c>
      <c r="D119" s="9">
        <f>1775.4/1000</f>
        <v>1.7754</v>
      </c>
      <c r="E119" s="9">
        <v>5.55</v>
      </c>
      <c r="F119" s="9"/>
      <c r="G119" s="9"/>
      <c r="H119" s="9"/>
      <c r="I119" s="9"/>
      <c r="J119" s="10"/>
      <c r="K119" s="10"/>
      <c r="L119" s="10"/>
      <c r="M119" s="10"/>
      <c r="N119" s="10"/>
      <c r="O119" s="10"/>
      <c r="P119" s="10"/>
      <c r="Q119" s="86"/>
      <c r="R119" s="98"/>
    </row>
    <row r="120" spans="1:18" ht="24.75" customHeight="1" hidden="1" outlineLevel="2">
      <c r="A120" s="8" t="s">
        <v>100</v>
      </c>
      <c r="B120" s="53" t="s">
        <v>107</v>
      </c>
      <c r="C120" s="54">
        <v>84</v>
      </c>
      <c r="D120" s="9">
        <f>4057.37/1000</f>
        <v>4.05737</v>
      </c>
      <c r="E120" s="9">
        <v>5.55</v>
      </c>
      <c r="F120" s="9"/>
      <c r="G120" s="9"/>
      <c r="H120" s="9"/>
      <c r="I120" s="9"/>
      <c r="J120" s="10"/>
      <c r="K120" s="10"/>
      <c r="L120" s="10"/>
      <c r="M120" s="10"/>
      <c r="N120" s="10"/>
      <c r="O120" s="10"/>
      <c r="P120" s="10"/>
      <c r="Q120" s="86"/>
      <c r="R120" s="98"/>
    </row>
    <row r="121" spans="1:18" ht="24.75" customHeight="1" hidden="1" outlineLevel="2">
      <c r="A121" s="8" t="s">
        <v>100</v>
      </c>
      <c r="B121" s="53" t="s">
        <v>108</v>
      </c>
      <c r="C121" s="54">
        <v>82</v>
      </c>
      <c r="D121" s="9">
        <f>3682.61/1000</f>
        <v>3.68261</v>
      </c>
      <c r="E121" s="9">
        <v>5.55</v>
      </c>
      <c r="F121" s="9"/>
      <c r="G121" s="9"/>
      <c r="H121" s="9"/>
      <c r="I121" s="9"/>
      <c r="J121" s="10"/>
      <c r="K121" s="10"/>
      <c r="L121" s="10"/>
      <c r="M121" s="10"/>
      <c r="N121" s="10"/>
      <c r="O121" s="10"/>
      <c r="P121" s="10"/>
      <c r="Q121" s="86"/>
      <c r="R121" s="98"/>
    </row>
    <row r="122" spans="1:18" s="7" customFormat="1" ht="24.75" customHeight="1" hidden="1" outlineLevel="2">
      <c r="A122" s="14" t="s">
        <v>111</v>
      </c>
      <c r="B122" s="53" t="s">
        <v>109</v>
      </c>
      <c r="C122" s="54">
        <v>64</v>
      </c>
      <c r="D122" s="9">
        <f>3183.5/1000</f>
        <v>3.1835</v>
      </c>
      <c r="E122" s="9">
        <v>5.55</v>
      </c>
      <c r="F122" s="9"/>
      <c r="G122" s="9"/>
      <c r="H122" s="9"/>
      <c r="I122" s="9"/>
      <c r="J122" s="10"/>
      <c r="K122" s="10"/>
      <c r="L122" s="10"/>
      <c r="M122" s="10"/>
      <c r="N122" s="10"/>
      <c r="O122" s="10"/>
      <c r="P122" s="10"/>
      <c r="Q122" s="86"/>
      <c r="R122" s="98"/>
    </row>
    <row r="123" spans="1:18" ht="24.75" customHeight="1" hidden="1" outlineLevel="2">
      <c r="A123" s="8"/>
      <c r="B123" s="53" t="s">
        <v>110</v>
      </c>
      <c r="C123" s="54">
        <v>56</v>
      </c>
      <c r="D123" s="9">
        <f>2667.5/1000</f>
        <v>2.6675</v>
      </c>
      <c r="E123" s="9">
        <v>5.55</v>
      </c>
      <c r="F123" s="9"/>
      <c r="G123" s="9"/>
      <c r="H123" s="9"/>
      <c r="I123" s="9"/>
      <c r="J123" s="56"/>
      <c r="K123" s="56"/>
      <c r="L123" s="56"/>
      <c r="M123" s="56"/>
      <c r="N123" s="56"/>
      <c r="O123" s="56"/>
      <c r="P123" s="56"/>
      <c r="Q123" s="88"/>
      <c r="R123" s="100"/>
    </row>
    <row r="124" spans="1:18" ht="24.75" customHeight="1" hidden="1" outlineLevel="1" collapsed="1">
      <c r="A124" s="8" t="s">
        <v>111</v>
      </c>
      <c r="B124" s="57" t="s">
        <v>111</v>
      </c>
      <c r="C124" s="58">
        <v>2861</v>
      </c>
      <c r="D124" s="56">
        <f>SUM(D125:D131)</f>
        <v>147.7719</v>
      </c>
      <c r="E124" s="9"/>
      <c r="F124" s="9"/>
      <c r="G124" s="9"/>
      <c r="H124" s="9"/>
      <c r="I124" s="9"/>
      <c r="J124" s="10"/>
      <c r="K124" s="10"/>
      <c r="L124" s="10"/>
      <c r="M124" s="10"/>
      <c r="N124" s="10"/>
      <c r="O124" s="10"/>
      <c r="P124" s="10"/>
      <c r="Q124" s="86"/>
      <c r="R124" s="98"/>
    </row>
    <row r="125" spans="1:18" ht="24.75" customHeight="1" hidden="1" outlineLevel="2">
      <c r="A125" s="8" t="s">
        <v>111</v>
      </c>
      <c r="B125" s="53" t="s">
        <v>111</v>
      </c>
      <c r="C125" s="54">
        <v>151</v>
      </c>
      <c r="D125" s="9">
        <f>8594.6/1000</f>
        <v>8.5946</v>
      </c>
      <c r="E125" s="9">
        <v>5.55</v>
      </c>
      <c r="F125" s="9"/>
      <c r="G125" s="9"/>
      <c r="H125" s="9"/>
      <c r="I125" s="9"/>
      <c r="J125" s="10"/>
      <c r="K125" s="10"/>
      <c r="L125" s="10"/>
      <c r="M125" s="10"/>
      <c r="N125" s="10"/>
      <c r="O125" s="10"/>
      <c r="P125" s="10"/>
      <c r="Q125" s="86"/>
      <c r="R125" s="98"/>
    </row>
    <row r="126" spans="1:18" ht="24.75" customHeight="1" hidden="1" outlineLevel="2">
      <c r="A126" s="8" t="s">
        <v>111</v>
      </c>
      <c r="B126" s="53" t="s">
        <v>112</v>
      </c>
      <c r="C126" s="54">
        <v>2104</v>
      </c>
      <c r="D126" s="9">
        <f>109549.88/1000</f>
        <v>109.54988</v>
      </c>
      <c r="E126" s="9">
        <v>5.55</v>
      </c>
      <c r="F126" s="9"/>
      <c r="G126" s="9"/>
      <c r="H126" s="9"/>
      <c r="I126" s="9"/>
      <c r="J126" s="10"/>
      <c r="K126" s="10"/>
      <c r="L126" s="10"/>
      <c r="M126" s="10"/>
      <c r="N126" s="10"/>
      <c r="O126" s="10"/>
      <c r="P126" s="10"/>
      <c r="Q126" s="86"/>
      <c r="R126" s="98"/>
    </row>
    <row r="127" spans="1:18" ht="24.75" customHeight="1" hidden="1" outlineLevel="2">
      <c r="A127" s="8" t="s">
        <v>111</v>
      </c>
      <c r="B127" s="53" t="s">
        <v>113</v>
      </c>
      <c r="C127" s="54">
        <v>141</v>
      </c>
      <c r="D127" s="9">
        <f>7000.95/1000</f>
        <v>7.00095</v>
      </c>
      <c r="E127" s="9">
        <v>5.55</v>
      </c>
      <c r="F127" s="9"/>
      <c r="G127" s="9"/>
      <c r="H127" s="9"/>
      <c r="I127" s="9"/>
      <c r="J127" s="10"/>
      <c r="K127" s="10"/>
      <c r="L127" s="10"/>
      <c r="M127" s="10"/>
      <c r="N127" s="10"/>
      <c r="O127" s="10"/>
      <c r="P127" s="10"/>
      <c r="Q127" s="86"/>
      <c r="R127" s="98"/>
    </row>
    <row r="128" spans="1:18" ht="24.75" customHeight="1" hidden="1" outlineLevel="2">
      <c r="A128" s="8" t="s">
        <v>111</v>
      </c>
      <c r="B128" s="53" t="s">
        <v>114</v>
      </c>
      <c r="C128" s="54">
        <v>248</v>
      </c>
      <c r="D128" s="9">
        <f>11528.88/1000</f>
        <v>11.52888</v>
      </c>
      <c r="E128" s="9">
        <v>5.55</v>
      </c>
      <c r="F128" s="9"/>
      <c r="G128" s="9"/>
      <c r="H128" s="9"/>
      <c r="I128" s="9"/>
      <c r="J128" s="10"/>
      <c r="K128" s="10"/>
      <c r="L128" s="10"/>
      <c r="M128" s="10"/>
      <c r="N128" s="10"/>
      <c r="O128" s="10"/>
      <c r="P128" s="10"/>
      <c r="Q128" s="86"/>
      <c r="R128" s="98"/>
    </row>
    <row r="129" spans="1:18" ht="24.75" customHeight="1" hidden="1" outlineLevel="2">
      <c r="A129" s="8" t="s">
        <v>111</v>
      </c>
      <c r="B129" s="53" t="s">
        <v>115</v>
      </c>
      <c r="C129" s="54">
        <v>69</v>
      </c>
      <c r="D129" s="9">
        <f>3260.9/1000</f>
        <v>3.2609</v>
      </c>
      <c r="E129" s="9">
        <v>5.55</v>
      </c>
      <c r="F129" s="9"/>
      <c r="G129" s="9"/>
      <c r="H129" s="9"/>
      <c r="I129" s="9"/>
      <c r="J129" s="10"/>
      <c r="K129" s="10"/>
      <c r="L129" s="10"/>
      <c r="M129" s="10"/>
      <c r="N129" s="10"/>
      <c r="O129" s="10"/>
      <c r="P129" s="10"/>
      <c r="Q129" s="86"/>
      <c r="R129" s="98"/>
    </row>
    <row r="130" spans="1:18" s="7" customFormat="1" ht="24.75" customHeight="1" hidden="1" outlineLevel="2">
      <c r="A130" s="14" t="s">
        <v>118</v>
      </c>
      <c r="B130" s="53" t="s">
        <v>116</v>
      </c>
      <c r="C130" s="54">
        <v>40</v>
      </c>
      <c r="D130" s="9">
        <f>2107.8/1000</f>
        <v>2.1078</v>
      </c>
      <c r="E130" s="9">
        <v>5.55</v>
      </c>
      <c r="F130" s="9"/>
      <c r="G130" s="9"/>
      <c r="H130" s="9"/>
      <c r="I130" s="9"/>
      <c r="J130" s="10"/>
      <c r="K130" s="10"/>
      <c r="L130" s="10"/>
      <c r="M130" s="10"/>
      <c r="N130" s="10"/>
      <c r="O130" s="10"/>
      <c r="P130" s="10"/>
      <c r="Q130" s="86"/>
      <c r="R130" s="98"/>
    </row>
    <row r="131" spans="1:18" s="60" customFormat="1" ht="24.75" customHeight="1" hidden="1" outlineLevel="2">
      <c r="A131" s="8"/>
      <c r="B131" s="53" t="s">
        <v>117</v>
      </c>
      <c r="C131" s="54">
        <v>108</v>
      </c>
      <c r="D131" s="9">
        <f>5728.89/1000</f>
        <v>5.728890000000001</v>
      </c>
      <c r="E131" s="9">
        <v>5.55</v>
      </c>
      <c r="F131" s="9"/>
      <c r="G131" s="9"/>
      <c r="H131" s="9"/>
      <c r="I131" s="9"/>
      <c r="J131" s="56"/>
      <c r="K131" s="56"/>
      <c r="L131" s="56"/>
      <c r="M131" s="56"/>
      <c r="N131" s="56"/>
      <c r="O131" s="56"/>
      <c r="P131" s="56"/>
      <c r="Q131" s="88"/>
      <c r="R131" s="100"/>
    </row>
    <row r="132" spans="1:18" s="60" customFormat="1" ht="24.75" customHeight="1" hidden="1" outlineLevel="1" collapsed="1">
      <c r="A132" s="8" t="s">
        <v>118</v>
      </c>
      <c r="B132" s="57" t="s">
        <v>118</v>
      </c>
      <c r="C132" s="58">
        <v>4409</v>
      </c>
      <c r="D132" s="56">
        <f>SUM(D133:D144)</f>
        <v>213.2658999999999</v>
      </c>
      <c r="E132" s="9"/>
      <c r="F132" s="9"/>
      <c r="G132" s="9"/>
      <c r="H132" s="9"/>
      <c r="I132" s="9"/>
      <c r="J132" s="10"/>
      <c r="K132" s="10"/>
      <c r="L132" s="10"/>
      <c r="M132" s="10"/>
      <c r="N132" s="10"/>
      <c r="O132" s="10"/>
      <c r="P132" s="10"/>
      <c r="Q132" s="86"/>
      <c r="R132" s="98"/>
    </row>
    <row r="133" spans="1:18" ht="24.75" customHeight="1" hidden="1" outlineLevel="2">
      <c r="A133" s="8" t="s">
        <v>118</v>
      </c>
      <c r="B133" s="53" t="s">
        <v>118</v>
      </c>
      <c r="C133" s="54">
        <v>49</v>
      </c>
      <c r="D133" s="9">
        <f>4397/1000</f>
        <v>4.397</v>
      </c>
      <c r="E133" s="9">
        <v>5.55</v>
      </c>
      <c r="F133" s="9"/>
      <c r="G133" s="9"/>
      <c r="H133" s="9"/>
      <c r="I133" s="9"/>
      <c r="J133" s="10"/>
      <c r="K133" s="10"/>
      <c r="L133" s="10"/>
      <c r="M133" s="10"/>
      <c r="N133" s="10"/>
      <c r="O133" s="10"/>
      <c r="P133" s="10"/>
      <c r="Q133" s="86"/>
      <c r="R133" s="98"/>
    </row>
    <row r="134" spans="1:18" ht="24.75" customHeight="1" hidden="1" outlineLevel="2">
      <c r="A134" s="8" t="s">
        <v>118</v>
      </c>
      <c r="B134" s="53" t="s">
        <v>119</v>
      </c>
      <c r="C134" s="54">
        <v>1288</v>
      </c>
      <c r="D134" s="9">
        <f>60502.08/1000</f>
        <v>60.50208</v>
      </c>
      <c r="E134" s="9">
        <v>5.55</v>
      </c>
      <c r="F134" s="9"/>
      <c r="G134" s="9"/>
      <c r="H134" s="9"/>
      <c r="I134" s="9"/>
      <c r="J134" s="10"/>
      <c r="K134" s="10"/>
      <c r="L134" s="10"/>
      <c r="M134" s="10"/>
      <c r="N134" s="10"/>
      <c r="O134" s="10"/>
      <c r="P134" s="10"/>
      <c r="Q134" s="86"/>
      <c r="R134" s="98"/>
    </row>
    <row r="135" spans="1:18" ht="24.75" customHeight="1" hidden="1" outlineLevel="2">
      <c r="A135" s="8" t="s">
        <v>118</v>
      </c>
      <c r="B135" s="53" t="s">
        <v>120</v>
      </c>
      <c r="C135" s="54">
        <v>528</v>
      </c>
      <c r="D135" s="9">
        <f>26087.27/1000</f>
        <v>26.08727</v>
      </c>
      <c r="E135" s="9">
        <v>5.55</v>
      </c>
      <c r="F135" s="9"/>
      <c r="G135" s="9"/>
      <c r="H135" s="9"/>
      <c r="I135" s="9"/>
      <c r="J135" s="10"/>
      <c r="K135" s="10"/>
      <c r="L135" s="10"/>
      <c r="M135" s="10"/>
      <c r="N135" s="10"/>
      <c r="O135" s="10"/>
      <c r="P135" s="10"/>
      <c r="Q135" s="86"/>
      <c r="R135" s="98"/>
    </row>
    <row r="136" spans="1:18" ht="24.75" customHeight="1" hidden="1" outlineLevel="2">
      <c r="A136" s="8" t="s">
        <v>118</v>
      </c>
      <c r="B136" s="53" t="s">
        <v>121</v>
      </c>
      <c r="C136" s="54">
        <v>306</v>
      </c>
      <c r="D136" s="9">
        <f>14449.29/1000</f>
        <v>14.449290000000001</v>
      </c>
      <c r="E136" s="9">
        <v>5.55</v>
      </c>
      <c r="F136" s="9"/>
      <c r="G136" s="9"/>
      <c r="H136" s="9"/>
      <c r="I136" s="9"/>
      <c r="J136" s="10"/>
      <c r="K136" s="10"/>
      <c r="L136" s="10"/>
      <c r="M136" s="10"/>
      <c r="N136" s="10"/>
      <c r="O136" s="10"/>
      <c r="P136" s="10"/>
      <c r="Q136" s="86"/>
      <c r="R136" s="98"/>
    </row>
    <row r="137" spans="1:18" ht="24.75" customHeight="1" hidden="1" outlineLevel="2">
      <c r="A137" s="8" t="s">
        <v>118</v>
      </c>
      <c r="B137" s="53" t="s">
        <v>122</v>
      </c>
      <c r="C137" s="54">
        <v>833</v>
      </c>
      <c r="D137" s="9">
        <f>39193.8799999999/1000</f>
        <v>39.1938799999999</v>
      </c>
      <c r="E137" s="9">
        <v>5.55</v>
      </c>
      <c r="F137" s="9"/>
      <c r="G137" s="9"/>
      <c r="H137" s="9"/>
      <c r="I137" s="9"/>
      <c r="J137" s="10"/>
      <c r="K137" s="10"/>
      <c r="L137" s="10"/>
      <c r="M137" s="10"/>
      <c r="N137" s="10"/>
      <c r="O137" s="10"/>
      <c r="P137" s="10"/>
      <c r="Q137" s="86"/>
      <c r="R137" s="98"/>
    </row>
    <row r="138" spans="1:18" ht="24.75" customHeight="1" hidden="1" outlineLevel="2">
      <c r="A138" s="8" t="s">
        <v>118</v>
      </c>
      <c r="B138" s="53" t="s">
        <v>123</v>
      </c>
      <c r="C138" s="54">
        <v>159</v>
      </c>
      <c r="D138" s="9">
        <f>7003.48/1000</f>
        <v>7.00348</v>
      </c>
      <c r="E138" s="9">
        <v>5.55</v>
      </c>
      <c r="F138" s="9"/>
      <c r="G138" s="9"/>
      <c r="H138" s="9"/>
      <c r="I138" s="9"/>
      <c r="J138" s="10"/>
      <c r="K138" s="10"/>
      <c r="L138" s="10"/>
      <c r="M138" s="10"/>
      <c r="N138" s="10"/>
      <c r="O138" s="10"/>
      <c r="P138" s="10"/>
      <c r="Q138" s="86"/>
      <c r="R138" s="98"/>
    </row>
    <row r="139" spans="1:18" ht="24.75" customHeight="1" hidden="1" outlineLevel="2">
      <c r="A139" s="8" t="s">
        <v>118</v>
      </c>
      <c r="B139" s="53" t="s">
        <v>124</v>
      </c>
      <c r="C139" s="54">
        <v>291</v>
      </c>
      <c r="D139" s="9">
        <f>14324.34/1000</f>
        <v>14.32434</v>
      </c>
      <c r="E139" s="9">
        <v>5.55</v>
      </c>
      <c r="F139" s="9"/>
      <c r="G139" s="9"/>
      <c r="H139" s="9"/>
      <c r="I139" s="9"/>
      <c r="J139" s="10"/>
      <c r="K139" s="10"/>
      <c r="L139" s="10"/>
      <c r="M139" s="10"/>
      <c r="N139" s="10"/>
      <c r="O139" s="10"/>
      <c r="P139" s="10"/>
      <c r="Q139" s="86"/>
      <c r="R139" s="98"/>
    </row>
    <row r="140" spans="1:18" ht="24.75" customHeight="1" hidden="1" outlineLevel="2">
      <c r="A140" s="8" t="s">
        <v>118</v>
      </c>
      <c r="B140" s="53" t="s">
        <v>125</v>
      </c>
      <c r="C140" s="54">
        <v>103</v>
      </c>
      <c r="D140" s="9">
        <f>5077.83/1000</f>
        <v>5.07783</v>
      </c>
      <c r="E140" s="9">
        <v>5.55</v>
      </c>
      <c r="F140" s="9"/>
      <c r="G140" s="9"/>
      <c r="H140" s="9"/>
      <c r="I140" s="9"/>
      <c r="J140" s="10"/>
      <c r="K140" s="10"/>
      <c r="L140" s="10"/>
      <c r="M140" s="10"/>
      <c r="N140" s="10"/>
      <c r="O140" s="10"/>
      <c r="P140" s="10"/>
      <c r="Q140" s="86"/>
      <c r="R140" s="98"/>
    </row>
    <row r="141" spans="1:18" ht="24.75" customHeight="1" hidden="1" outlineLevel="2">
      <c r="A141" s="8" t="s">
        <v>118</v>
      </c>
      <c r="B141" s="53" t="s">
        <v>126</v>
      </c>
      <c r="C141" s="54">
        <v>92</v>
      </c>
      <c r="D141" s="9">
        <f>4630.77/1000</f>
        <v>4.63077</v>
      </c>
      <c r="E141" s="9">
        <v>5.55</v>
      </c>
      <c r="F141" s="9"/>
      <c r="G141" s="9"/>
      <c r="H141" s="9"/>
      <c r="I141" s="9"/>
      <c r="J141" s="10"/>
      <c r="K141" s="10"/>
      <c r="L141" s="10"/>
      <c r="M141" s="10"/>
      <c r="N141" s="10"/>
      <c r="O141" s="10"/>
      <c r="P141" s="10"/>
      <c r="Q141" s="86"/>
      <c r="R141" s="98"/>
    </row>
    <row r="142" spans="1:18" ht="24.75" customHeight="1" hidden="1" outlineLevel="2">
      <c r="A142" s="8" t="s">
        <v>118</v>
      </c>
      <c r="B142" s="53" t="s">
        <v>127</v>
      </c>
      <c r="C142" s="54">
        <v>60</v>
      </c>
      <c r="D142" s="9">
        <f>2460.22/1000</f>
        <v>2.4602199999999996</v>
      </c>
      <c r="E142" s="9">
        <v>5.55</v>
      </c>
      <c r="F142" s="9"/>
      <c r="G142" s="9"/>
      <c r="H142" s="9"/>
      <c r="I142" s="9"/>
      <c r="J142" s="10"/>
      <c r="K142" s="10"/>
      <c r="L142" s="10"/>
      <c r="M142" s="10"/>
      <c r="N142" s="10"/>
      <c r="O142" s="10"/>
      <c r="P142" s="10"/>
      <c r="Q142" s="86"/>
      <c r="R142" s="98"/>
    </row>
    <row r="143" spans="1:18" s="7" customFormat="1" ht="24.75" customHeight="1" hidden="1" outlineLevel="2">
      <c r="A143" s="14" t="s">
        <v>130</v>
      </c>
      <c r="B143" s="53" t="s">
        <v>128</v>
      </c>
      <c r="C143" s="54">
        <v>588</v>
      </c>
      <c r="D143" s="9">
        <f>29949.55/1000</f>
        <v>29.94955</v>
      </c>
      <c r="E143" s="9">
        <v>5.55</v>
      </c>
      <c r="F143" s="9"/>
      <c r="G143" s="9"/>
      <c r="H143" s="9"/>
      <c r="I143" s="9"/>
      <c r="J143" s="10"/>
      <c r="K143" s="10"/>
      <c r="L143" s="10"/>
      <c r="M143" s="10"/>
      <c r="N143" s="10"/>
      <c r="O143" s="10"/>
      <c r="P143" s="10"/>
      <c r="Q143" s="86"/>
      <c r="R143" s="98"/>
    </row>
    <row r="144" spans="1:18" ht="24.75" customHeight="1" hidden="1" outlineLevel="2">
      <c r="A144" s="8"/>
      <c r="B144" s="53" t="s">
        <v>129</v>
      </c>
      <c r="C144" s="54">
        <v>112</v>
      </c>
      <c r="D144" s="9">
        <f>5190.19/1000</f>
        <v>5.190189999999999</v>
      </c>
      <c r="E144" s="9">
        <v>5.55</v>
      </c>
      <c r="F144" s="9"/>
      <c r="G144" s="9"/>
      <c r="H144" s="9"/>
      <c r="I144" s="9"/>
      <c r="J144" s="56"/>
      <c r="K144" s="56"/>
      <c r="L144" s="56"/>
      <c r="M144" s="56"/>
      <c r="N144" s="56"/>
      <c r="O144" s="56"/>
      <c r="P144" s="56"/>
      <c r="Q144" s="88"/>
      <c r="R144" s="100"/>
    </row>
    <row r="145" spans="1:18" ht="24.75" customHeight="1" hidden="1" outlineLevel="1" collapsed="1">
      <c r="A145" s="8" t="s">
        <v>130</v>
      </c>
      <c r="B145" s="57" t="s">
        <v>130</v>
      </c>
      <c r="C145" s="58">
        <v>1422</v>
      </c>
      <c r="D145" s="56">
        <f>SUM(D146:D150)</f>
        <v>67.96207000000001</v>
      </c>
      <c r="E145" s="9"/>
      <c r="F145" s="9"/>
      <c r="G145" s="9"/>
      <c r="H145" s="9"/>
      <c r="I145" s="9"/>
      <c r="J145" s="10"/>
      <c r="K145" s="10"/>
      <c r="L145" s="10"/>
      <c r="M145" s="10"/>
      <c r="N145" s="10"/>
      <c r="O145" s="10"/>
      <c r="P145" s="10"/>
      <c r="Q145" s="86"/>
      <c r="R145" s="98"/>
    </row>
    <row r="146" spans="1:18" ht="24.75" customHeight="1" hidden="1" outlineLevel="2">
      <c r="A146" s="8" t="s">
        <v>130</v>
      </c>
      <c r="B146" s="53" t="s">
        <v>130</v>
      </c>
      <c r="C146" s="54">
        <v>1122</v>
      </c>
      <c r="D146" s="9">
        <f>53564.11/1000</f>
        <v>53.56411</v>
      </c>
      <c r="E146" s="9">
        <v>5.55</v>
      </c>
      <c r="F146" s="9"/>
      <c r="G146" s="9"/>
      <c r="H146" s="9"/>
      <c r="I146" s="9"/>
      <c r="J146" s="10"/>
      <c r="K146" s="10"/>
      <c r="L146" s="10"/>
      <c r="M146" s="10"/>
      <c r="N146" s="10"/>
      <c r="O146" s="10"/>
      <c r="P146" s="10"/>
      <c r="Q146" s="86"/>
      <c r="R146" s="98"/>
    </row>
    <row r="147" spans="1:18" ht="24.75" customHeight="1" hidden="1" outlineLevel="2">
      <c r="A147" s="8" t="s">
        <v>130</v>
      </c>
      <c r="B147" s="53" t="s">
        <v>131</v>
      </c>
      <c r="C147" s="54">
        <v>123</v>
      </c>
      <c r="D147" s="9">
        <f>5766.8/1000</f>
        <v>5.7668</v>
      </c>
      <c r="E147" s="9">
        <v>5.55</v>
      </c>
      <c r="F147" s="9"/>
      <c r="G147" s="9"/>
      <c r="H147" s="9"/>
      <c r="I147" s="9"/>
      <c r="J147" s="10"/>
      <c r="K147" s="10"/>
      <c r="L147" s="10"/>
      <c r="M147" s="10"/>
      <c r="N147" s="10"/>
      <c r="O147" s="10"/>
      <c r="P147" s="10"/>
      <c r="Q147" s="86"/>
      <c r="R147" s="98"/>
    </row>
    <row r="148" spans="1:18" ht="24.75" customHeight="1" hidden="1" outlineLevel="2">
      <c r="A148" s="8" t="s">
        <v>130</v>
      </c>
      <c r="B148" s="53" t="s">
        <v>132</v>
      </c>
      <c r="C148" s="54">
        <v>73</v>
      </c>
      <c r="D148" s="9">
        <f>3587.6/1000</f>
        <v>3.5876</v>
      </c>
      <c r="E148" s="9">
        <v>5.55</v>
      </c>
      <c r="F148" s="9"/>
      <c r="G148" s="9"/>
      <c r="H148" s="9"/>
      <c r="I148" s="9"/>
      <c r="J148" s="10"/>
      <c r="K148" s="10"/>
      <c r="L148" s="10"/>
      <c r="M148" s="10"/>
      <c r="N148" s="10"/>
      <c r="O148" s="10"/>
      <c r="P148" s="10"/>
      <c r="Q148" s="86"/>
      <c r="R148" s="98"/>
    </row>
    <row r="149" spans="1:18" s="7" customFormat="1" ht="24.75" customHeight="1" hidden="1" outlineLevel="2">
      <c r="A149" s="14" t="s">
        <v>135</v>
      </c>
      <c r="B149" s="53" t="s">
        <v>133</v>
      </c>
      <c r="C149" s="54">
        <v>17</v>
      </c>
      <c r="D149" s="9">
        <f>836.9/1000</f>
        <v>0.8369</v>
      </c>
      <c r="E149" s="9">
        <v>5.55</v>
      </c>
      <c r="F149" s="9"/>
      <c r="G149" s="9"/>
      <c r="H149" s="9"/>
      <c r="I149" s="9"/>
      <c r="J149" s="10"/>
      <c r="K149" s="10"/>
      <c r="L149" s="10"/>
      <c r="M149" s="10"/>
      <c r="N149" s="10"/>
      <c r="O149" s="10"/>
      <c r="P149" s="10"/>
      <c r="Q149" s="86"/>
      <c r="R149" s="98"/>
    </row>
    <row r="150" spans="1:18" ht="24.75" customHeight="1" hidden="1" outlineLevel="2">
      <c r="A150" s="8"/>
      <c r="B150" s="53" t="s">
        <v>134</v>
      </c>
      <c r="C150" s="54">
        <v>87</v>
      </c>
      <c r="D150" s="9">
        <f>4206.66/1000</f>
        <v>4.20666</v>
      </c>
      <c r="E150" s="9">
        <v>5.55</v>
      </c>
      <c r="F150" s="9"/>
      <c r="G150" s="9"/>
      <c r="H150" s="9"/>
      <c r="I150" s="9"/>
      <c r="J150" s="56"/>
      <c r="K150" s="56"/>
      <c r="L150" s="56"/>
      <c r="M150" s="56"/>
      <c r="N150" s="56"/>
      <c r="O150" s="56"/>
      <c r="P150" s="56"/>
      <c r="Q150" s="88"/>
      <c r="R150" s="100"/>
    </row>
    <row r="151" spans="1:18" ht="24.75" customHeight="1" hidden="1" outlineLevel="1" collapsed="1">
      <c r="A151" s="8" t="s">
        <v>135</v>
      </c>
      <c r="B151" s="57" t="s">
        <v>135</v>
      </c>
      <c r="C151" s="58">
        <v>2933</v>
      </c>
      <c r="D151" s="56">
        <f>SUM(D152:D167)</f>
        <v>149.92263</v>
      </c>
      <c r="E151" s="9"/>
      <c r="F151" s="9"/>
      <c r="G151" s="9"/>
      <c r="H151" s="9"/>
      <c r="I151" s="9"/>
      <c r="J151" s="10"/>
      <c r="K151" s="10"/>
      <c r="L151" s="10"/>
      <c r="M151" s="10"/>
      <c r="N151" s="10"/>
      <c r="O151" s="10"/>
      <c r="P151" s="10"/>
      <c r="Q151" s="86"/>
      <c r="R151" s="98"/>
    </row>
    <row r="152" spans="1:18" ht="24.75" customHeight="1" hidden="1" outlineLevel="2">
      <c r="A152" s="8" t="s">
        <v>135</v>
      </c>
      <c r="B152" s="53" t="s">
        <v>135</v>
      </c>
      <c r="C152" s="54">
        <v>69</v>
      </c>
      <c r="D152" s="9">
        <f>5110.71/1000</f>
        <v>5.11071</v>
      </c>
      <c r="E152" s="9">
        <v>5.55</v>
      </c>
      <c r="F152" s="9"/>
      <c r="G152" s="9"/>
      <c r="H152" s="9"/>
      <c r="I152" s="9"/>
      <c r="J152" s="10"/>
      <c r="K152" s="10"/>
      <c r="L152" s="10"/>
      <c r="M152" s="10"/>
      <c r="N152" s="10"/>
      <c r="O152" s="10"/>
      <c r="P152" s="10"/>
      <c r="Q152" s="86"/>
      <c r="R152" s="98"/>
    </row>
    <row r="153" spans="1:18" ht="24.75" customHeight="1" hidden="1" outlineLevel="2">
      <c r="A153" s="8" t="s">
        <v>135</v>
      </c>
      <c r="B153" s="53" t="s">
        <v>136</v>
      </c>
      <c r="C153" s="54">
        <v>315</v>
      </c>
      <c r="D153" s="9">
        <f>17244.82/1000</f>
        <v>17.24482</v>
      </c>
      <c r="E153" s="9">
        <v>5.55</v>
      </c>
      <c r="F153" s="9"/>
      <c r="G153" s="9"/>
      <c r="H153" s="9"/>
      <c r="I153" s="9"/>
      <c r="J153" s="10"/>
      <c r="K153" s="10"/>
      <c r="L153" s="10"/>
      <c r="M153" s="10"/>
      <c r="N153" s="10"/>
      <c r="O153" s="10"/>
      <c r="P153" s="10"/>
      <c r="Q153" s="86"/>
      <c r="R153" s="98"/>
    </row>
    <row r="154" spans="1:18" ht="24.75" customHeight="1" hidden="1" outlineLevel="2">
      <c r="A154" s="8" t="s">
        <v>135</v>
      </c>
      <c r="B154" s="53" t="s">
        <v>137</v>
      </c>
      <c r="C154" s="54">
        <v>119</v>
      </c>
      <c r="D154" s="9">
        <f>5795.4/1000</f>
        <v>5.7954</v>
      </c>
      <c r="E154" s="9">
        <v>5.55</v>
      </c>
      <c r="F154" s="9"/>
      <c r="G154" s="9"/>
      <c r="H154" s="9"/>
      <c r="I154" s="9"/>
      <c r="J154" s="10"/>
      <c r="K154" s="10"/>
      <c r="L154" s="10"/>
      <c r="M154" s="10"/>
      <c r="N154" s="10"/>
      <c r="O154" s="10"/>
      <c r="P154" s="10"/>
      <c r="Q154" s="86"/>
      <c r="R154" s="98"/>
    </row>
    <row r="155" spans="1:18" ht="24.75" customHeight="1" hidden="1" outlineLevel="2">
      <c r="A155" s="8" t="s">
        <v>135</v>
      </c>
      <c r="B155" s="53" t="s">
        <v>138</v>
      </c>
      <c r="C155" s="54">
        <v>165</v>
      </c>
      <c r="D155" s="9">
        <f>8047.94/1000</f>
        <v>8.047939999999999</v>
      </c>
      <c r="E155" s="9">
        <v>5.55</v>
      </c>
      <c r="F155" s="9"/>
      <c r="G155" s="9"/>
      <c r="H155" s="9"/>
      <c r="I155" s="9"/>
      <c r="J155" s="10"/>
      <c r="K155" s="10"/>
      <c r="L155" s="10"/>
      <c r="M155" s="10"/>
      <c r="N155" s="10"/>
      <c r="O155" s="10"/>
      <c r="P155" s="10"/>
      <c r="Q155" s="86"/>
      <c r="R155" s="98"/>
    </row>
    <row r="156" spans="1:18" ht="24.75" customHeight="1" hidden="1" outlineLevel="2">
      <c r="A156" s="8" t="s">
        <v>135</v>
      </c>
      <c r="B156" s="53" t="s">
        <v>139</v>
      </c>
      <c r="C156" s="54">
        <v>523</v>
      </c>
      <c r="D156" s="9">
        <f>26696.25/1000</f>
        <v>26.69625</v>
      </c>
      <c r="E156" s="9">
        <v>5.55</v>
      </c>
      <c r="F156" s="9"/>
      <c r="G156" s="9"/>
      <c r="H156" s="9"/>
      <c r="I156" s="9"/>
      <c r="J156" s="10"/>
      <c r="K156" s="10"/>
      <c r="L156" s="10"/>
      <c r="M156" s="10"/>
      <c r="N156" s="10"/>
      <c r="O156" s="10"/>
      <c r="P156" s="10"/>
      <c r="Q156" s="86"/>
      <c r="R156" s="98"/>
    </row>
    <row r="157" spans="1:18" ht="24.75" customHeight="1" hidden="1" outlineLevel="2">
      <c r="A157" s="8" t="s">
        <v>135</v>
      </c>
      <c r="B157" s="53" t="s">
        <v>140</v>
      </c>
      <c r="C157" s="54">
        <v>191</v>
      </c>
      <c r="D157" s="9">
        <f>9732.96/1000</f>
        <v>9.732959999999999</v>
      </c>
      <c r="E157" s="9">
        <v>5.55</v>
      </c>
      <c r="F157" s="9"/>
      <c r="G157" s="9"/>
      <c r="H157" s="9"/>
      <c r="I157" s="9"/>
      <c r="J157" s="10"/>
      <c r="K157" s="10"/>
      <c r="L157" s="10"/>
      <c r="M157" s="10"/>
      <c r="N157" s="10"/>
      <c r="O157" s="10"/>
      <c r="P157" s="10"/>
      <c r="Q157" s="86"/>
      <c r="R157" s="98"/>
    </row>
    <row r="158" spans="1:18" ht="24.75" customHeight="1" hidden="1" outlineLevel="2">
      <c r="A158" s="8" t="s">
        <v>135</v>
      </c>
      <c r="B158" s="53" t="s">
        <v>141</v>
      </c>
      <c r="C158" s="54">
        <v>221</v>
      </c>
      <c r="D158" s="9">
        <f>10513.77/1000</f>
        <v>10.513770000000001</v>
      </c>
      <c r="E158" s="9">
        <v>5.55</v>
      </c>
      <c r="F158" s="9"/>
      <c r="G158" s="9"/>
      <c r="H158" s="9"/>
      <c r="I158" s="9"/>
      <c r="J158" s="10"/>
      <c r="K158" s="10"/>
      <c r="L158" s="10"/>
      <c r="M158" s="10"/>
      <c r="N158" s="10"/>
      <c r="O158" s="10"/>
      <c r="P158" s="10"/>
      <c r="Q158" s="86"/>
      <c r="R158" s="98"/>
    </row>
    <row r="159" spans="1:18" ht="24.75" customHeight="1" hidden="1" outlineLevel="2">
      <c r="A159" s="8" t="s">
        <v>135</v>
      </c>
      <c r="B159" s="53" t="s">
        <v>142</v>
      </c>
      <c r="C159" s="54">
        <v>110</v>
      </c>
      <c r="D159" s="9">
        <f>5059.69/1000</f>
        <v>5.05969</v>
      </c>
      <c r="E159" s="9">
        <v>5.55</v>
      </c>
      <c r="F159" s="9"/>
      <c r="G159" s="9"/>
      <c r="H159" s="9"/>
      <c r="I159" s="9"/>
      <c r="J159" s="10"/>
      <c r="K159" s="10"/>
      <c r="L159" s="10"/>
      <c r="M159" s="10"/>
      <c r="N159" s="10"/>
      <c r="O159" s="10"/>
      <c r="P159" s="10"/>
      <c r="Q159" s="86"/>
      <c r="R159" s="98"/>
    </row>
    <row r="160" spans="1:18" ht="24.75" customHeight="1" hidden="1" outlineLevel="2">
      <c r="A160" s="8" t="s">
        <v>135</v>
      </c>
      <c r="B160" s="53" t="s">
        <v>143</v>
      </c>
      <c r="C160" s="54">
        <v>200</v>
      </c>
      <c r="D160" s="9">
        <f>9647.4/1000</f>
        <v>9.6474</v>
      </c>
      <c r="E160" s="9">
        <v>5.55</v>
      </c>
      <c r="F160" s="9"/>
      <c r="G160" s="9"/>
      <c r="H160" s="9"/>
      <c r="I160" s="9"/>
      <c r="J160" s="10"/>
      <c r="K160" s="10"/>
      <c r="L160" s="10"/>
      <c r="M160" s="10"/>
      <c r="N160" s="10"/>
      <c r="O160" s="10"/>
      <c r="P160" s="10"/>
      <c r="Q160" s="86"/>
      <c r="R160" s="98"/>
    </row>
    <row r="161" spans="1:18" ht="24.75" customHeight="1" hidden="1" outlineLevel="2">
      <c r="A161" s="8" t="s">
        <v>135</v>
      </c>
      <c r="B161" s="53" t="s">
        <v>144</v>
      </c>
      <c r="C161" s="54">
        <v>159</v>
      </c>
      <c r="D161" s="9">
        <f>7846.9/1000</f>
        <v>7.8469</v>
      </c>
      <c r="E161" s="9">
        <v>5.55</v>
      </c>
      <c r="F161" s="9"/>
      <c r="G161" s="9"/>
      <c r="H161" s="9"/>
      <c r="I161" s="9"/>
      <c r="J161" s="10"/>
      <c r="K161" s="10"/>
      <c r="L161" s="10"/>
      <c r="M161" s="10"/>
      <c r="N161" s="10"/>
      <c r="O161" s="10"/>
      <c r="P161" s="10"/>
      <c r="Q161" s="86"/>
      <c r="R161" s="98"/>
    </row>
    <row r="162" spans="1:18" ht="24.75" customHeight="1" hidden="1" outlineLevel="2">
      <c r="A162" s="8" t="s">
        <v>135</v>
      </c>
      <c r="B162" s="53" t="s">
        <v>145</v>
      </c>
      <c r="C162" s="54">
        <v>157</v>
      </c>
      <c r="D162" s="9">
        <f>6973.27/1000</f>
        <v>6.97327</v>
      </c>
      <c r="E162" s="9">
        <v>5.55</v>
      </c>
      <c r="F162" s="9"/>
      <c r="G162" s="9"/>
      <c r="H162" s="9"/>
      <c r="I162" s="9"/>
      <c r="J162" s="10"/>
      <c r="K162" s="10"/>
      <c r="L162" s="10"/>
      <c r="M162" s="10"/>
      <c r="N162" s="10"/>
      <c r="O162" s="10"/>
      <c r="P162" s="10"/>
      <c r="Q162" s="86"/>
      <c r="R162" s="98"/>
    </row>
    <row r="163" spans="1:18" ht="24.75" customHeight="1" hidden="1" outlineLevel="2">
      <c r="A163" s="8" t="s">
        <v>135</v>
      </c>
      <c r="B163" s="53" t="s">
        <v>146</v>
      </c>
      <c r="C163" s="54">
        <v>124</v>
      </c>
      <c r="D163" s="9">
        <f>6514.12/1000</f>
        <v>6.51412</v>
      </c>
      <c r="E163" s="9">
        <v>5.55</v>
      </c>
      <c r="F163" s="9"/>
      <c r="G163" s="9"/>
      <c r="H163" s="9"/>
      <c r="I163" s="9"/>
      <c r="J163" s="10"/>
      <c r="K163" s="10"/>
      <c r="L163" s="10"/>
      <c r="M163" s="10"/>
      <c r="N163" s="10"/>
      <c r="O163" s="10"/>
      <c r="P163" s="10"/>
      <c r="Q163" s="86"/>
      <c r="R163" s="98"/>
    </row>
    <row r="164" spans="1:18" ht="24.75" customHeight="1" hidden="1" outlineLevel="2">
      <c r="A164" s="8" t="s">
        <v>135</v>
      </c>
      <c r="B164" s="53" t="s">
        <v>147</v>
      </c>
      <c r="C164" s="54">
        <v>208</v>
      </c>
      <c r="D164" s="9">
        <f>10861/1000</f>
        <v>10.861</v>
      </c>
      <c r="E164" s="9">
        <v>5.55</v>
      </c>
      <c r="F164" s="9"/>
      <c r="G164" s="9"/>
      <c r="H164" s="9"/>
      <c r="I164" s="9"/>
      <c r="J164" s="10"/>
      <c r="K164" s="10"/>
      <c r="L164" s="10"/>
      <c r="M164" s="10"/>
      <c r="N164" s="10"/>
      <c r="O164" s="10"/>
      <c r="P164" s="10"/>
      <c r="Q164" s="86"/>
      <c r="R164" s="98"/>
    </row>
    <row r="165" spans="1:18" ht="24.75" customHeight="1" hidden="1" outlineLevel="2">
      <c r="A165" s="8" t="s">
        <v>135</v>
      </c>
      <c r="B165" s="53" t="s">
        <v>148</v>
      </c>
      <c r="C165" s="54">
        <v>35</v>
      </c>
      <c r="D165" s="9">
        <f>1969.8/1000</f>
        <v>1.9698</v>
      </c>
      <c r="E165" s="9">
        <v>5.55</v>
      </c>
      <c r="F165" s="9"/>
      <c r="G165" s="9"/>
      <c r="H165" s="9"/>
      <c r="I165" s="9"/>
      <c r="J165" s="10"/>
      <c r="K165" s="10"/>
      <c r="L165" s="10"/>
      <c r="M165" s="10"/>
      <c r="N165" s="10"/>
      <c r="O165" s="10"/>
      <c r="P165" s="10"/>
      <c r="Q165" s="86"/>
      <c r="R165" s="98"/>
    </row>
    <row r="166" spans="1:18" s="7" customFormat="1" ht="24.75" customHeight="1" hidden="1" outlineLevel="2">
      <c r="A166" s="14" t="s">
        <v>151</v>
      </c>
      <c r="B166" s="53" t="s">
        <v>149</v>
      </c>
      <c r="C166" s="54">
        <v>110</v>
      </c>
      <c r="D166" s="9">
        <f>5288.3/1000</f>
        <v>5.2883000000000004</v>
      </c>
      <c r="E166" s="9">
        <v>5.55</v>
      </c>
      <c r="F166" s="9"/>
      <c r="G166" s="9"/>
      <c r="H166" s="9"/>
      <c r="I166" s="9"/>
      <c r="J166" s="10"/>
      <c r="K166" s="10"/>
      <c r="L166" s="10"/>
      <c r="M166" s="10"/>
      <c r="N166" s="10"/>
      <c r="O166" s="10"/>
      <c r="P166" s="10"/>
      <c r="Q166" s="86"/>
      <c r="R166" s="98"/>
    </row>
    <row r="167" spans="1:18" ht="24.75" customHeight="1" hidden="1" outlineLevel="2">
      <c r="A167" s="8"/>
      <c r="B167" s="53" t="s">
        <v>150</v>
      </c>
      <c r="C167" s="54">
        <v>227</v>
      </c>
      <c r="D167" s="9">
        <f>12620.3/1000</f>
        <v>12.620299999999999</v>
      </c>
      <c r="E167" s="9">
        <v>5.55</v>
      </c>
      <c r="F167" s="9"/>
      <c r="G167" s="9"/>
      <c r="H167" s="9"/>
      <c r="I167" s="9"/>
      <c r="J167" s="56"/>
      <c r="K167" s="56"/>
      <c r="L167" s="56"/>
      <c r="M167" s="56"/>
      <c r="N167" s="56"/>
      <c r="O167" s="56"/>
      <c r="P167" s="56"/>
      <c r="Q167" s="88"/>
      <c r="R167" s="100"/>
    </row>
    <row r="168" spans="1:18" ht="24.75" customHeight="1" hidden="1" outlineLevel="1" collapsed="1">
      <c r="A168" s="8" t="s">
        <v>151</v>
      </c>
      <c r="B168" s="57" t="s">
        <v>151</v>
      </c>
      <c r="C168" s="58">
        <v>3638</v>
      </c>
      <c r="D168" s="56">
        <f>SUM(D169:D184)</f>
        <v>184.67035</v>
      </c>
      <c r="E168" s="9"/>
      <c r="F168" s="9"/>
      <c r="G168" s="9"/>
      <c r="H168" s="9"/>
      <c r="I168" s="9"/>
      <c r="J168" s="10"/>
      <c r="K168" s="10"/>
      <c r="L168" s="10"/>
      <c r="M168" s="10"/>
      <c r="N168" s="10"/>
      <c r="O168" s="10"/>
      <c r="P168" s="10"/>
      <c r="Q168" s="86"/>
      <c r="R168" s="98"/>
    </row>
    <row r="169" spans="1:18" ht="24.75" customHeight="1" hidden="1" outlineLevel="2">
      <c r="A169" s="8" t="s">
        <v>151</v>
      </c>
      <c r="B169" s="53" t="s">
        <v>151</v>
      </c>
      <c r="C169" s="54">
        <v>99</v>
      </c>
      <c r="D169" s="9">
        <f>6350/1000</f>
        <v>6.35</v>
      </c>
      <c r="E169" s="9">
        <v>5.55</v>
      </c>
      <c r="F169" s="9"/>
      <c r="G169" s="9"/>
      <c r="H169" s="9"/>
      <c r="I169" s="9"/>
      <c r="J169" s="10"/>
      <c r="K169" s="10"/>
      <c r="L169" s="10"/>
      <c r="M169" s="10"/>
      <c r="N169" s="10"/>
      <c r="O169" s="10"/>
      <c r="P169" s="10"/>
      <c r="Q169" s="86"/>
      <c r="R169" s="98"/>
    </row>
    <row r="170" spans="1:18" ht="24.75" customHeight="1" hidden="1" outlineLevel="2">
      <c r="A170" s="8" t="s">
        <v>151</v>
      </c>
      <c r="B170" s="53" t="s">
        <v>152</v>
      </c>
      <c r="C170" s="54">
        <v>1275</v>
      </c>
      <c r="D170" s="9">
        <f>65379.89/1000</f>
        <v>65.37989</v>
      </c>
      <c r="E170" s="9">
        <v>5.55</v>
      </c>
      <c r="F170" s="9"/>
      <c r="G170" s="9"/>
      <c r="H170" s="9"/>
      <c r="I170" s="9"/>
      <c r="J170" s="10"/>
      <c r="K170" s="10"/>
      <c r="L170" s="10"/>
      <c r="M170" s="10"/>
      <c r="N170" s="10"/>
      <c r="O170" s="10"/>
      <c r="P170" s="10"/>
      <c r="Q170" s="86"/>
      <c r="R170" s="98"/>
    </row>
    <row r="171" spans="1:18" ht="24.75" customHeight="1" hidden="1" outlineLevel="2">
      <c r="A171" s="8" t="s">
        <v>151</v>
      </c>
      <c r="B171" s="53" t="s">
        <v>153</v>
      </c>
      <c r="C171" s="54">
        <v>135</v>
      </c>
      <c r="D171" s="9">
        <f>6345.2/1000</f>
        <v>6.3452</v>
      </c>
      <c r="E171" s="9">
        <v>5.55</v>
      </c>
      <c r="F171" s="9"/>
      <c r="G171" s="9"/>
      <c r="H171" s="9"/>
      <c r="I171" s="9"/>
      <c r="J171" s="10"/>
      <c r="K171" s="10"/>
      <c r="L171" s="10"/>
      <c r="M171" s="10"/>
      <c r="N171" s="10"/>
      <c r="O171" s="10"/>
      <c r="P171" s="10"/>
      <c r="Q171" s="86"/>
      <c r="R171" s="98"/>
    </row>
    <row r="172" spans="1:18" ht="24.75" customHeight="1" hidden="1" outlineLevel="2">
      <c r="A172" s="8" t="s">
        <v>151</v>
      </c>
      <c r="B172" s="53" t="s">
        <v>154</v>
      </c>
      <c r="C172" s="54">
        <v>188</v>
      </c>
      <c r="D172" s="9">
        <f>8661.6/1000</f>
        <v>8.6616</v>
      </c>
      <c r="E172" s="9">
        <v>5.55</v>
      </c>
      <c r="F172" s="9"/>
      <c r="G172" s="9"/>
      <c r="H172" s="9"/>
      <c r="I172" s="9"/>
      <c r="J172" s="10"/>
      <c r="K172" s="10"/>
      <c r="L172" s="10"/>
      <c r="M172" s="10"/>
      <c r="N172" s="10"/>
      <c r="O172" s="10"/>
      <c r="P172" s="10"/>
      <c r="Q172" s="86"/>
      <c r="R172" s="98"/>
    </row>
    <row r="173" spans="1:18" ht="24.75" customHeight="1" hidden="1" outlineLevel="2">
      <c r="A173" s="8" t="s">
        <v>151</v>
      </c>
      <c r="B173" s="53" t="s">
        <v>155</v>
      </c>
      <c r="C173" s="54">
        <v>155</v>
      </c>
      <c r="D173" s="9">
        <f>7912.1/1000</f>
        <v>7.912100000000001</v>
      </c>
      <c r="E173" s="9">
        <v>5.55</v>
      </c>
      <c r="F173" s="9"/>
      <c r="G173" s="9"/>
      <c r="H173" s="9"/>
      <c r="I173" s="9"/>
      <c r="J173" s="10"/>
      <c r="K173" s="10"/>
      <c r="L173" s="10"/>
      <c r="M173" s="10"/>
      <c r="N173" s="10"/>
      <c r="O173" s="10"/>
      <c r="P173" s="10"/>
      <c r="Q173" s="86"/>
      <c r="R173" s="98"/>
    </row>
    <row r="174" spans="1:18" ht="24.75" customHeight="1" hidden="1" outlineLevel="2">
      <c r="A174" s="8" t="s">
        <v>151</v>
      </c>
      <c r="B174" s="53" t="s">
        <v>156</v>
      </c>
      <c r="C174" s="54">
        <v>70</v>
      </c>
      <c r="D174" s="9">
        <f>3140.03/1000</f>
        <v>3.1400300000000003</v>
      </c>
      <c r="E174" s="9">
        <v>5.55</v>
      </c>
      <c r="F174" s="9"/>
      <c r="G174" s="9"/>
      <c r="H174" s="9"/>
      <c r="I174" s="9"/>
      <c r="J174" s="10"/>
      <c r="K174" s="10"/>
      <c r="L174" s="10"/>
      <c r="M174" s="10"/>
      <c r="N174" s="10"/>
      <c r="O174" s="10"/>
      <c r="P174" s="10"/>
      <c r="Q174" s="86"/>
      <c r="R174" s="98"/>
    </row>
    <row r="175" spans="1:18" ht="24.75" customHeight="1" hidden="1" outlineLevel="2">
      <c r="A175" s="8" t="s">
        <v>151</v>
      </c>
      <c r="B175" s="53" t="s">
        <v>157</v>
      </c>
      <c r="C175" s="54">
        <v>133</v>
      </c>
      <c r="D175" s="9">
        <f>7177/1000</f>
        <v>7.177</v>
      </c>
      <c r="E175" s="9">
        <v>5.55</v>
      </c>
      <c r="F175" s="9"/>
      <c r="G175" s="9"/>
      <c r="H175" s="9"/>
      <c r="I175" s="9"/>
      <c r="J175" s="10"/>
      <c r="K175" s="10"/>
      <c r="L175" s="10"/>
      <c r="M175" s="10"/>
      <c r="N175" s="10"/>
      <c r="O175" s="10"/>
      <c r="P175" s="10"/>
      <c r="Q175" s="86"/>
      <c r="R175" s="98"/>
    </row>
    <row r="176" spans="1:18" ht="24.75" customHeight="1" hidden="1" outlineLevel="2">
      <c r="A176" s="8" t="s">
        <v>151</v>
      </c>
      <c r="B176" s="53" t="s">
        <v>158</v>
      </c>
      <c r="C176" s="54">
        <v>120</v>
      </c>
      <c r="D176" s="9">
        <f>5501.53/1000</f>
        <v>5.50153</v>
      </c>
      <c r="E176" s="9">
        <v>5.55</v>
      </c>
      <c r="F176" s="9"/>
      <c r="G176" s="9"/>
      <c r="H176" s="9"/>
      <c r="I176" s="9"/>
      <c r="J176" s="10"/>
      <c r="K176" s="10"/>
      <c r="L176" s="10"/>
      <c r="M176" s="10"/>
      <c r="N176" s="10"/>
      <c r="O176" s="10"/>
      <c r="P176" s="10"/>
      <c r="Q176" s="86"/>
      <c r="R176" s="98"/>
    </row>
    <row r="177" spans="1:18" ht="24.75" customHeight="1" hidden="1" outlineLevel="2">
      <c r="A177" s="8" t="s">
        <v>151</v>
      </c>
      <c r="B177" s="53" t="s">
        <v>159</v>
      </c>
      <c r="C177" s="54">
        <v>244</v>
      </c>
      <c r="D177" s="9">
        <f>12512.35/1000</f>
        <v>12.51235</v>
      </c>
      <c r="E177" s="9">
        <v>5.55</v>
      </c>
      <c r="F177" s="9"/>
      <c r="G177" s="9"/>
      <c r="H177" s="9"/>
      <c r="I177" s="9"/>
      <c r="J177" s="10"/>
      <c r="K177" s="10"/>
      <c r="L177" s="10"/>
      <c r="M177" s="10"/>
      <c r="N177" s="10"/>
      <c r="O177" s="10"/>
      <c r="P177" s="10"/>
      <c r="Q177" s="86"/>
      <c r="R177" s="98"/>
    </row>
    <row r="178" spans="1:18" ht="24.75" customHeight="1" hidden="1" outlineLevel="2">
      <c r="A178" s="8" t="s">
        <v>151</v>
      </c>
      <c r="B178" s="53" t="s">
        <v>160</v>
      </c>
      <c r="C178" s="54">
        <v>67</v>
      </c>
      <c r="D178" s="9">
        <f>3529.1/1000</f>
        <v>3.5291</v>
      </c>
      <c r="E178" s="9">
        <v>5.55</v>
      </c>
      <c r="F178" s="9"/>
      <c r="G178" s="9"/>
      <c r="H178" s="9"/>
      <c r="I178" s="9"/>
      <c r="J178" s="10"/>
      <c r="K178" s="10"/>
      <c r="L178" s="10"/>
      <c r="M178" s="10"/>
      <c r="N178" s="10"/>
      <c r="O178" s="10"/>
      <c r="P178" s="10"/>
      <c r="Q178" s="86"/>
      <c r="R178" s="98"/>
    </row>
    <row r="179" spans="1:18" ht="24.75" customHeight="1" hidden="1" outlineLevel="2">
      <c r="A179" s="8" t="s">
        <v>151</v>
      </c>
      <c r="B179" s="53" t="s">
        <v>161</v>
      </c>
      <c r="C179" s="54">
        <v>109</v>
      </c>
      <c r="D179" s="9">
        <f>5087.69/1000</f>
        <v>5.087689999999999</v>
      </c>
      <c r="E179" s="9">
        <v>5.55</v>
      </c>
      <c r="F179" s="9"/>
      <c r="G179" s="9"/>
      <c r="H179" s="9"/>
      <c r="I179" s="9"/>
      <c r="J179" s="10"/>
      <c r="K179" s="10"/>
      <c r="L179" s="10"/>
      <c r="M179" s="10"/>
      <c r="N179" s="10"/>
      <c r="O179" s="10"/>
      <c r="P179" s="10"/>
      <c r="Q179" s="86"/>
      <c r="R179" s="98"/>
    </row>
    <row r="180" spans="1:18" ht="24.75" customHeight="1" hidden="1" outlineLevel="2">
      <c r="A180" s="8" t="s">
        <v>151</v>
      </c>
      <c r="B180" s="53" t="s">
        <v>162</v>
      </c>
      <c r="C180" s="54">
        <v>168</v>
      </c>
      <c r="D180" s="9">
        <f>8375.8/1000</f>
        <v>8.3758</v>
      </c>
      <c r="E180" s="9">
        <v>5.55</v>
      </c>
      <c r="F180" s="9"/>
      <c r="G180" s="9"/>
      <c r="H180" s="9"/>
      <c r="I180" s="9"/>
      <c r="J180" s="10"/>
      <c r="K180" s="10"/>
      <c r="L180" s="10"/>
      <c r="M180" s="10"/>
      <c r="N180" s="10"/>
      <c r="O180" s="10"/>
      <c r="P180" s="10"/>
      <c r="Q180" s="86"/>
      <c r="R180" s="98"/>
    </row>
    <row r="181" spans="1:18" ht="24.75" customHeight="1" hidden="1" outlineLevel="2">
      <c r="A181" s="8" t="s">
        <v>151</v>
      </c>
      <c r="B181" s="53" t="s">
        <v>163</v>
      </c>
      <c r="C181" s="54">
        <v>241</v>
      </c>
      <c r="D181" s="9">
        <f>11812.85/1000</f>
        <v>11.812850000000001</v>
      </c>
      <c r="E181" s="9">
        <v>5.55</v>
      </c>
      <c r="F181" s="9"/>
      <c r="G181" s="9"/>
      <c r="H181" s="9"/>
      <c r="I181" s="9"/>
      <c r="J181" s="10"/>
      <c r="K181" s="10"/>
      <c r="L181" s="10"/>
      <c r="M181" s="10"/>
      <c r="N181" s="10"/>
      <c r="O181" s="10"/>
      <c r="P181" s="10"/>
      <c r="Q181" s="86"/>
      <c r="R181" s="98"/>
    </row>
    <row r="182" spans="1:18" ht="24.75" customHeight="1" hidden="1" outlineLevel="2">
      <c r="A182" s="8" t="s">
        <v>151</v>
      </c>
      <c r="B182" s="53" t="s">
        <v>164</v>
      </c>
      <c r="C182" s="54">
        <v>195</v>
      </c>
      <c r="D182" s="9">
        <f>9972.32/1000</f>
        <v>9.97232</v>
      </c>
      <c r="E182" s="9">
        <v>5.55</v>
      </c>
      <c r="F182" s="9"/>
      <c r="G182" s="9"/>
      <c r="H182" s="9"/>
      <c r="I182" s="9"/>
      <c r="J182" s="10"/>
      <c r="K182" s="10"/>
      <c r="L182" s="10"/>
      <c r="M182" s="10"/>
      <c r="N182" s="10"/>
      <c r="O182" s="10"/>
      <c r="P182" s="10"/>
      <c r="Q182" s="86"/>
      <c r="R182" s="98"/>
    </row>
    <row r="183" spans="1:18" s="7" customFormat="1" ht="24.75" customHeight="1" hidden="1" outlineLevel="2">
      <c r="A183" s="14" t="s">
        <v>167</v>
      </c>
      <c r="B183" s="53" t="s">
        <v>165</v>
      </c>
      <c r="C183" s="54">
        <v>43</v>
      </c>
      <c r="D183" s="9">
        <f>2491.3/1000</f>
        <v>2.4913000000000003</v>
      </c>
      <c r="E183" s="9">
        <v>5.55</v>
      </c>
      <c r="F183" s="9"/>
      <c r="G183" s="9"/>
      <c r="H183" s="9"/>
      <c r="I183" s="9"/>
      <c r="J183" s="10"/>
      <c r="K183" s="10"/>
      <c r="L183" s="10"/>
      <c r="M183" s="10"/>
      <c r="N183" s="10"/>
      <c r="O183" s="10"/>
      <c r="P183" s="10"/>
      <c r="Q183" s="86"/>
      <c r="R183" s="98"/>
    </row>
    <row r="184" spans="1:18" ht="24.75" customHeight="1" hidden="1" outlineLevel="2">
      <c r="A184" s="8"/>
      <c r="B184" s="53" t="s">
        <v>166</v>
      </c>
      <c r="C184" s="54">
        <v>396</v>
      </c>
      <c r="D184" s="9">
        <f>20421.59/1000</f>
        <v>20.421590000000002</v>
      </c>
      <c r="E184" s="9">
        <v>5.55</v>
      </c>
      <c r="F184" s="9"/>
      <c r="G184" s="9"/>
      <c r="H184" s="9"/>
      <c r="I184" s="9"/>
      <c r="J184" s="56"/>
      <c r="K184" s="56"/>
      <c r="L184" s="56"/>
      <c r="M184" s="56"/>
      <c r="N184" s="56"/>
      <c r="O184" s="56"/>
      <c r="P184" s="56"/>
      <c r="Q184" s="88"/>
      <c r="R184" s="100"/>
    </row>
    <row r="185" spans="1:18" ht="24.75" customHeight="1" hidden="1" outlineLevel="1" collapsed="1">
      <c r="A185" s="8" t="s">
        <v>167</v>
      </c>
      <c r="B185" s="57" t="s">
        <v>167</v>
      </c>
      <c r="C185" s="58">
        <v>1100</v>
      </c>
      <c r="D185" s="56">
        <f>SUM(D186:D191)</f>
        <v>54.71833000000001</v>
      </c>
      <c r="E185" s="9"/>
      <c r="F185" s="9"/>
      <c r="G185" s="9"/>
      <c r="H185" s="9"/>
      <c r="I185" s="9"/>
      <c r="J185" s="10"/>
      <c r="K185" s="10"/>
      <c r="L185" s="10"/>
      <c r="M185" s="10"/>
      <c r="N185" s="10"/>
      <c r="O185" s="10"/>
      <c r="P185" s="10"/>
      <c r="Q185" s="86"/>
      <c r="R185" s="98"/>
    </row>
    <row r="186" spans="1:18" ht="24.75" customHeight="1" hidden="1" outlineLevel="2">
      <c r="A186" s="8" t="s">
        <v>167</v>
      </c>
      <c r="B186" s="53" t="s">
        <v>167</v>
      </c>
      <c r="C186" s="54">
        <v>68</v>
      </c>
      <c r="D186" s="9">
        <f>2867.74/1000</f>
        <v>2.86774</v>
      </c>
      <c r="E186" s="9">
        <v>5.55</v>
      </c>
      <c r="F186" s="9"/>
      <c r="G186" s="9"/>
      <c r="H186" s="9"/>
      <c r="I186" s="9"/>
      <c r="J186" s="10"/>
      <c r="K186" s="10"/>
      <c r="L186" s="10"/>
      <c r="M186" s="10"/>
      <c r="N186" s="10"/>
      <c r="O186" s="10"/>
      <c r="P186" s="10"/>
      <c r="Q186" s="86"/>
      <c r="R186" s="98"/>
    </row>
    <row r="187" spans="1:18" ht="24.75" customHeight="1" hidden="1" outlineLevel="2">
      <c r="A187" s="8" t="s">
        <v>167</v>
      </c>
      <c r="B187" s="53" t="s">
        <v>168</v>
      </c>
      <c r="C187" s="54">
        <v>686</v>
      </c>
      <c r="D187" s="9">
        <f>35279.05/1000</f>
        <v>35.279050000000005</v>
      </c>
      <c r="E187" s="9">
        <v>5.55</v>
      </c>
      <c r="F187" s="9"/>
      <c r="G187" s="9"/>
      <c r="H187" s="9"/>
      <c r="I187" s="9"/>
      <c r="J187" s="10"/>
      <c r="K187" s="10"/>
      <c r="L187" s="10"/>
      <c r="M187" s="10"/>
      <c r="N187" s="10"/>
      <c r="O187" s="10"/>
      <c r="P187" s="10"/>
      <c r="Q187" s="86"/>
      <c r="R187" s="98"/>
    </row>
    <row r="188" spans="1:18" ht="24.75" customHeight="1" hidden="1" outlineLevel="2">
      <c r="A188" s="8" t="s">
        <v>167</v>
      </c>
      <c r="B188" s="53" t="s">
        <v>169</v>
      </c>
      <c r="C188" s="54">
        <v>127</v>
      </c>
      <c r="D188" s="9">
        <f>6090.2/1000</f>
        <v>6.090199999999999</v>
      </c>
      <c r="E188" s="9">
        <v>5.55</v>
      </c>
      <c r="F188" s="9"/>
      <c r="G188" s="9"/>
      <c r="H188" s="9"/>
      <c r="I188" s="9"/>
      <c r="J188" s="10"/>
      <c r="K188" s="10"/>
      <c r="L188" s="10"/>
      <c r="M188" s="10"/>
      <c r="N188" s="10"/>
      <c r="O188" s="10"/>
      <c r="P188" s="10"/>
      <c r="Q188" s="86"/>
      <c r="R188" s="98"/>
    </row>
    <row r="189" spans="1:18" ht="24.75" customHeight="1" hidden="1" outlineLevel="2">
      <c r="A189" s="8" t="s">
        <v>167</v>
      </c>
      <c r="B189" s="53" t="s">
        <v>170</v>
      </c>
      <c r="C189" s="54">
        <v>64</v>
      </c>
      <c r="D189" s="9">
        <f>3123.8/1000</f>
        <v>3.1238</v>
      </c>
      <c r="E189" s="9">
        <v>5.55</v>
      </c>
      <c r="F189" s="9"/>
      <c r="G189" s="9"/>
      <c r="H189" s="9"/>
      <c r="I189" s="9"/>
      <c r="J189" s="10"/>
      <c r="K189" s="10"/>
      <c r="L189" s="10"/>
      <c r="M189" s="10"/>
      <c r="N189" s="10"/>
      <c r="O189" s="10"/>
      <c r="P189" s="10"/>
      <c r="Q189" s="86"/>
      <c r="R189" s="98"/>
    </row>
    <row r="190" spans="1:18" s="7" customFormat="1" ht="24.75" customHeight="1" hidden="1" outlineLevel="2">
      <c r="A190" s="14" t="s">
        <v>173</v>
      </c>
      <c r="B190" s="53" t="s">
        <v>171</v>
      </c>
      <c r="C190" s="54">
        <v>51</v>
      </c>
      <c r="D190" s="9">
        <f>2509.8/1000</f>
        <v>2.5098000000000003</v>
      </c>
      <c r="E190" s="9">
        <v>5.55</v>
      </c>
      <c r="F190" s="9"/>
      <c r="G190" s="9"/>
      <c r="H190" s="9"/>
      <c r="I190" s="9"/>
      <c r="J190" s="10"/>
      <c r="K190" s="10"/>
      <c r="L190" s="10"/>
      <c r="M190" s="10"/>
      <c r="N190" s="10"/>
      <c r="O190" s="10"/>
      <c r="P190" s="10"/>
      <c r="Q190" s="86"/>
      <c r="R190" s="98"/>
    </row>
    <row r="191" spans="1:18" ht="24.75" customHeight="1" hidden="1" outlineLevel="2">
      <c r="A191" s="8"/>
      <c r="B191" s="53" t="s">
        <v>172</v>
      </c>
      <c r="C191" s="54">
        <v>104</v>
      </c>
      <c r="D191" s="9">
        <f>4847.74/1000</f>
        <v>4.84774</v>
      </c>
      <c r="E191" s="9">
        <v>5.55</v>
      </c>
      <c r="F191" s="9"/>
      <c r="G191" s="9"/>
      <c r="H191" s="9"/>
      <c r="I191" s="9"/>
      <c r="J191" s="56"/>
      <c r="K191" s="56"/>
      <c r="L191" s="56"/>
      <c r="M191" s="56"/>
      <c r="N191" s="56"/>
      <c r="O191" s="56"/>
      <c r="P191" s="56"/>
      <c r="Q191" s="88"/>
      <c r="R191" s="100"/>
    </row>
    <row r="192" spans="1:18" ht="24.75" customHeight="1" hidden="1" outlineLevel="1" collapsed="1">
      <c r="A192" s="8" t="s">
        <v>173</v>
      </c>
      <c r="B192" s="57" t="s">
        <v>173</v>
      </c>
      <c r="C192" s="58">
        <v>2595</v>
      </c>
      <c r="D192" s="56">
        <f>SUM(D193:D207)</f>
        <v>133.7823899999999</v>
      </c>
      <c r="E192" s="9"/>
      <c r="F192" s="9"/>
      <c r="G192" s="9"/>
      <c r="H192" s="9"/>
      <c r="I192" s="9"/>
      <c r="J192" s="10"/>
      <c r="K192" s="10"/>
      <c r="L192" s="10"/>
      <c r="M192" s="10"/>
      <c r="N192" s="10"/>
      <c r="O192" s="10"/>
      <c r="P192" s="10"/>
      <c r="Q192" s="86"/>
      <c r="R192" s="98"/>
    </row>
    <row r="193" spans="1:18" ht="24.75" customHeight="1" hidden="1" outlineLevel="2">
      <c r="A193" s="8" t="s">
        <v>173</v>
      </c>
      <c r="B193" s="53" t="s">
        <v>173</v>
      </c>
      <c r="C193" s="54">
        <v>182</v>
      </c>
      <c r="D193" s="9">
        <f>8042.25/1000</f>
        <v>8.04225</v>
      </c>
      <c r="E193" s="9">
        <v>5.55</v>
      </c>
      <c r="F193" s="9"/>
      <c r="G193" s="9"/>
      <c r="H193" s="9"/>
      <c r="I193" s="9"/>
      <c r="J193" s="10"/>
      <c r="K193" s="10"/>
      <c r="L193" s="10"/>
      <c r="M193" s="10"/>
      <c r="N193" s="10"/>
      <c r="O193" s="10"/>
      <c r="P193" s="10"/>
      <c r="Q193" s="86"/>
      <c r="R193" s="98"/>
    </row>
    <row r="194" spans="1:18" ht="24.75" customHeight="1" hidden="1" outlineLevel="2">
      <c r="A194" s="8" t="s">
        <v>173</v>
      </c>
      <c r="B194" s="53" t="s">
        <v>174</v>
      </c>
      <c r="C194" s="54">
        <v>895</v>
      </c>
      <c r="D194" s="9">
        <f>49614.7799999999/1000</f>
        <v>49.6147799999999</v>
      </c>
      <c r="E194" s="9">
        <v>5.55</v>
      </c>
      <c r="F194" s="9"/>
      <c r="G194" s="9"/>
      <c r="H194" s="9"/>
      <c r="I194" s="9"/>
      <c r="J194" s="10"/>
      <c r="K194" s="10"/>
      <c r="L194" s="10"/>
      <c r="M194" s="10"/>
      <c r="N194" s="10"/>
      <c r="O194" s="10"/>
      <c r="P194" s="10"/>
      <c r="Q194" s="86"/>
      <c r="R194" s="98"/>
    </row>
    <row r="195" spans="1:18" ht="24.75" customHeight="1" hidden="1" outlineLevel="2">
      <c r="A195" s="8" t="s">
        <v>173</v>
      </c>
      <c r="B195" s="53" t="s">
        <v>175</v>
      </c>
      <c r="C195" s="54">
        <v>46</v>
      </c>
      <c r="D195" s="9">
        <f>2142.59/1000</f>
        <v>2.14259</v>
      </c>
      <c r="E195" s="9">
        <v>5.55</v>
      </c>
      <c r="F195" s="9"/>
      <c r="G195" s="9"/>
      <c r="H195" s="9"/>
      <c r="I195" s="9"/>
      <c r="J195" s="10"/>
      <c r="K195" s="10"/>
      <c r="L195" s="10"/>
      <c r="M195" s="10"/>
      <c r="N195" s="10"/>
      <c r="O195" s="10"/>
      <c r="P195" s="10"/>
      <c r="Q195" s="86"/>
      <c r="R195" s="98"/>
    </row>
    <row r="196" spans="1:18" ht="24.75" customHeight="1" hidden="1" outlineLevel="2">
      <c r="A196" s="8" t="s">
        <v>173</v>
      </c>
      <c r="B196" s="53" t="s">
        <v>176</v>
      </c>
      <c r="C196" s="54">
        <v>46</v>
      </c>
      <c r="D196" s="9">
        <f>2180.11/1000</f>
        <v>2.18011</v>
      </c>
      <c r="E196" s="9">
        <v>5.55</v>
      </c>
      <c r="F196" s="9"/>
      <c r="G196" s="9"/>
      <c r="H196" s="9"/>
      <c r="I196" s="9"/>
      <c r="J196" s="10"/>
      <c r="K196" s="10"/>
      <c r="L196" s="10"/>
      <c r="M196" s="10"/>
      <c r="N196" s="10"/>
      <c r="O196" s="10"/>
      <c r="P196" s="10"/>
      <c r="Q196" s="86"/>
      <c r="R196" s="98"/>
    </row>
    <row r="197" spans="1:18" ht="24.75" customHeight="1" hidden="1" outlineLevel="2">
      <c r="A197" s="8" t="s">
        <v>173</v>
      </c>
      <c r="B197" s="53" t="s">
        <v>177</v>
      </c>
      <c r="C197" s="54">
        <v>26</v>
      </c>
      <c r="D197" s="9">
        <f>1340.6/1000</f>
        <v>1.3406</v>
      </c>
      <c r="E197" s="9">
        <v>5.55</v>
      </c>
      <c r="F197" s="9"/>
      <c r="G197" s="9"/>
      <c r="H197" s="9"/>
      <c r="I197" s="9"/>
      <c r="J197" s="10"/>
      <c r="K197" s="10"/>
      <c r="L197" s="10"/>
      <c r="M197" s="10"/>
      <c r="N197" s="10"/>
      <c r="O197" s="10"/>
      <c r="P197" s="10"/>
      <c r="Q197" s="86"/>
      <c r="R197" s="98"/>
    </row>
    <row r="198" spans="1:18" ht="24.75" customHeight="1" hidden="1" outlineLevel="2">
      <c r="A198" s="8" t="s">
        <v>173</v>
      </c>
      <c r="B198" s="53" t="s">
        <v>178</v>
      </c>
      <c r="C198" s="54">
        <v>219</v>
      </c>
      <c r="D198" s="9">
        <f>10631.66/1000</f>
        <v>10.63166</v>
      </c>
      <c r="E198" s="9">
        <v>5.55</v>
      </c>
      <c r="F198" s="9"/>
      <c r="G198" s="9"/>
      <c r="H198" s="9"/>
      <c r="I198" s="9"/>
      <c r="J198" s="10"/>
      <c r="K198" s="10"/>
      <c r="L198" s="10"/>
      <c r="M198" s="10"/>
      <c r="N198" s="10"/>
      <c r="O198" s="10"/>
      <c r="P198" s="10"/>
      <c r="Q198" s="86"/>
      <c r="R198" s="98"/>
    </row>
    <row r="199" spans="1:18" ht="24.75" customHeight="1" hidden="1" outlineLevel="2">
      <c r="A199" s="8" t="s">
        <v>173</v>
      </c>
      <c r="B199" s="53" t="s">
        <v>179</v>
      </c>
      <c r="C199" s="54">
        <v>209</v>
      </c>
      <c r="D199" s="9">
        <f>10400.96/1000</f>
        <v>10.40096</v>
      </c>
      <c r="E199" s="9">
        <v>5.55</v>
      </c>
      <c r="F199" s="9"/>
      <c r="G199" s="9"/>
      <c r="H199" s="9"/>
      <c r="I199" s="9"/>
      <c r="J199" s="10"/>
      <c r="K199" s="10"/>
      <c r="L199" s="10"/>
      <c r="M199" s="10"/>
      <c r="N199" s="10"/>
      <c r="O199" s="10"/>
      <c r="P199" s="10"/>
      <c r="Q199" s="86"/>
      <c r="R199" s="98"/>
    </row>
    <row r="200" spans="1:18" ht="24.75" customHeight="1" hidden="1" outlineLevel="2">
      <c r="A200" s="8" t="s">
        <v>173</v>
      </c>
      <c r="B200" s="53" t="s">
        <v>180</v>
      </c>
      <c r="C200" s="54">
        <v>60</v>
      </c>
      <c r="D200" s="9">
        <f>3023.91/1000</f>
        <v>3.02391</v>
      </c>
      <c r="E200" s="9">
        <v>5.55</v>
      </c>
      <c r="F200" s="9"/>
      <c r="G200" s="9"/>
      <c r="H200" s="9"/>
      <c r="I200" s="9"/>
      <c r="J200" s="10"/>
      <c r="K200" s="10"/>
      <c r="L200" s="10"/>
      <c r="M200" s="10"/>
      <c r="N200" s="10"/>
      <c r="O200" s="10"/>
      <c r="P200" s="10"/>
      <c r="Q200" s="86"/>
      <c r="R200" s="98"/>
    </row>
    <row r="201" spans="1:18" ht="24.75" customHeight="1" hidden="1" outlineLevel="2">
      <c r="A201" s="8" t="s">
        <v>173</v>
      </c>
      <c r="B201" s="53" t="s">
        <v>181</v>
      </c>
      <c r="C201" s="54">
        <v>47</v>
      </c>
      <c r="D201" s="9">
        <f>2180.15/1000</f>
        <v>2.1801500000000003</v>
      </c>
      <c r="E201" s="9">
        <v>5.55</v>
      </c>
      <c r="F201" s="9"/>
      <c r="G201" s="9"/>
      <c r="H201" s="9"/>
      <c r="I201" s="9"/>
      <c r="J201" s="10"/>
      <c r="K201" s="10"/>
      <c r="L201" s="10"/>
      <c r="M201" s="10"/>
      <c r="N201" s="10"/>
      <c r="O201" s="10"/>
      <c r="P201" s="10"/>
      <c r="Q201" s="86"/>
      <c r="R201" s="98"/>
    </row>
    <row r="202" spans="1:18" ht="24.75" customHeight="1" hidden="1" outlineLevel="2">
      <c r="A202" s="8" t="s">
        <v>173</v>
      </c>
      <c r="B202" s="53" t="s">
        <v>182</v>
      </c>
      <c r="C202" s="54">
        <v>85</v>
      </c>
      <c r="D202" s="9">
        <f>4089.2/1000</f>
        <v>4.0892</v>
      </c>
      <c r="E202" s="9">
        <v>5.55</v>
      </c>
      <c r="F202" s="9"/>
      <c r="G202" s="9"/>
      <c r="H202" s="9"/>
      <c r="I202" s="9"/>
      <c r="J202" s="10"/>
      <c r="K202" s="10"/>
      <c r="L202" s="10"/>
      <c r="M202" s="10"/>
      <c r="N202" s="10"/>
      <c r="O202" s="10"/>
      <c r="P202" s="10"/>
      <c r="Q202" s="86"/>
      <c r="R202" s="98"/>
    </row>
    <row r="203" spans="1:18" ht="24.75" customHeight="1" hidden="1" outlineLevel="2">
      <c r="A203" s="8" t="s">
        <v>173</v>
      </c>
      <c r="B203" s="53" t="s">
        <v>183</v>
      </c>
      <c r="C203" s="54">
        <v>107</v>
      </c>
      <c r="D203" s="9">
        <f>5429.44/1000</f>
        <v>5.42944</v>
      </c>
      <c r="E203" s="9">
        <v>5.55</v>
      </c>
      <c r="F203" s="9"/>
      <c r="G203" s="9"/>
      <c r="H203" s="9"/>
      <c r="I203" s="9"/>
      <c r="J203" s="10"/>
      <c r="K203" s="10"/>
      <c r="L203" s="10"/>
      <c r="M203" s="10"/>
      <c r="N203" s="10"/>
      <c r="O203" s="10"/>
      <c r="P203" s="10"/>
      <c r="Q203" s="86"/>
      <c r="R203" s="98"/>
    </row>
    <row r="204" spans="1:18" ht="24.75" customHeight="1" hidden="1" outlineLevel="2">
      <c r="A204" s="8" t="s">
        <v>173</v>
      </c>
      <c r="B204" s="53" t="s">
        <v>184</v>
      </c>
      <c r="C204" s="54">
        <v>58</v>
      </c>
      <c r="D204" s="9">
        <f>2812.4/1000</f>
        <v>2.8124000000000002</v>
      </c>
      <c r="E204" s="9">
        <v>5.55</v>
      </c>
      <c r="F204" s="9"/>
      <c r="G204" s="9"/>
      <c r="H204" s="9"/>
      <c r="I204" s="9"/>
      <c r="J204" s="10"/>
      <c r="K204" s="10"/>
      <c r="L204" s="10"/>
      <c r="M204" s="10"/>
      <c r="N204" s="10"/>
      <c r="O204" s="10"/>
      <c r="P204" s="10"/>
      <c r="Q204" s="86"/>
      <c r="R204" s="98"/>
    </row>
    <row r="205" spans="1:18" ht="24.75" customHeight="1" hidden="1" outlineLevel="2">
      <c r="A205" s="8" t="s">
        <v>173</v>
      </c>
      <c r="B205" s="53" t="s">
        <v>185</v>
      </c>
      <c r="C205" s="54">
        <v>368</v>
      </c>
      <c r="D205" s="9">
        <f>18884.93/1000</f>
        <v>18.88493</v>
      </c>
      <c r="E205" s="9">
        <v>5.55</v>
      </c>
      <c r="F205" s="9"/>
      <c r="G205" s="9"/>
      <c r="H205" s="9"/>
      <c r="I205" s="9"/>
      <c r="J205" s="10"/>
      <c r="K205" s="10"/>
      <c r="L205" s="10"/>
      <c r="M205" s="10"/>
      <c r="N205" s="10"/>
      <c r="O205" s="10"/>
      <c r="P205" s="10"/>
      <c r="Q205" s="86"/>
      <c r="R205" s="98"/>
    </row>
    <row r="206" spans="1:18" s="7" customFormat="1" ht="24.75" customHeight="1" hidden="1" outlineLevel="2">
      <c r="A206" s="14" t="s">
        <v>188</v>
      </c>
      <c r="B206" s="53" t="s">
        <v>186</v>
      </c>
      <c r="C206" s="54">
        <v>73</v>
      </c>
      <c r="D206" s="9">
        <f>3845.32/1000</f>
        <v>3.84532</v>
      </c>
      <c r="E206" s="9">
        <v>5.55</v>
      </c>
      <c r="F206" s="9"/>
      <c r="G206" s="9"/>
      <c r="H206" s="9"/>
      <c r="I206" s="9"/>
      <c r="J206" s="10"/>
      <c r="K206" s="10"/>
      <c r="L206" s="10"/>
      <c r="M206" s="10"/>
      <c r="N206" s="10"/>
      <c r="O206" s="10"/>
      <c r="P206" s="10"/>
      <c r="Q206" s="86"/>
      <c r="R206" s="98"/>
    </row>
    <row r="207" spans="1:18" ht="24.75" customHeight="1" hidden="1" outlineLevel="2">
      <c r="A207" s="8"/>
      <c r="B207" s="53" t="s">
        <v>187</v>
      </c>
      <c r="C207" s="54">
        <v>174</v>
      </c>
      <c r="D207" s="9">
        <f>9164.09000000001/1000</f>
        <v>9.164090000000009</v>
      </c>
      <c r="E207" s="9">
        <v>5.55</v>
      </c>
      <c r="F207" s="9"/>
      <c r="G207" s="9"/>
      <c r="H207" s="9"/>
      <c r="I207" s="9"/>
      <c r="J207" s="56"/>
      <c r="K207" s="56"/>
      <c r="L207" s="56"/>
      <c r="M207" s="56"/>
      <c r="N207" s="56"/>
      <c r="O207" s="56"/>
      <c r="P207" s="56"/>
      <c r="Q207" s="88"/>
      <c r="R207" s="100"/>
    </row>
    <row r="208" spans="1:18" ht="24.75" customHeight="1" hidden="1" outlineLevel="1" collapsed="1">
      <c r="A208" s="8" t="s">
        <v>188</v>
      </c>
      <c r="B208" s="57" t="s">
        <v>188</v>
      </c>
      <c r="C208" s="58">
        <v>1247</v>
      </c>
      <c r="D208" s="56">
        <f>SUM(D209:D216)</f>
        <v>66.3521100000001</v>
      </c>
      <c r="E208" s="9"/>
      <c r="F208" s="9"/>
      <c r="G208" s="9"/>
      <c r="H208" s="9"/>
      <c r="I208" s="9"/>
      <c r="J208" s="10"/>
      <c r="K208" s="10"/>
      <c r="L208" s="10"/>
      <c r="M208" s="10"/>
      <c r="N208" s="10"/>
      <c r="O208" s="10"/>
      <c r="P208" s="10"/>
      <c r="Q208" s="86"/>
      <c r="R208" s="98"/>
    </row>
    <row r="209" spans="1:18" ht="24.75" customHeight="1" hidden="1" outlineLevel="2">
      <c r="A209" s="8" t="s">
        <v>188</v>
      </c>
      <c r="B209" s="53" t="s">
        <v>188</v>
      </c>
      <c r="C209" s="54">
        <v>79</v>
      </c>
      <c r="D209" s="9">
        <f>6481.85/1000</f>
        <v>6.4818500000000006</v>
      </c>
      <c r="E209" s="9">
        <v>5.55</v>
      </c>
      <c r="F209" s="9"/>
      <c r="G209" s="9"/>
      <c r="H209" s="9"/>
      <c r="I209" s="9"/>
      <c r="J209" s="10"/>
      <c r="K209" s="10"/>
      <c r="L209" s="10"/>
      <c r="M209" s="10"/>
      <c r="N209" s="10"/>
      <c r="O209" s="10"/>
      <c r="P209" s="10"/>
      <c r="Q209" s="86"/>
      <c r="R209" s="98"/>
    </row>
    <row r="210" spans="1:18" ht="24.75" customHeight="1" hidden="1" outlineLevel="2">
      <c r="A210" s="8" t="s">
        <v>188</v>
      </c>
      <c r="B210" s="53" t="s">
        <v>189</v>
      </c>
      <c r="C210" s="54">
        <v>868</v>
      </c>
      <c r="D210" s="9">
        <f>42439.1600000001/1000</f>
        <v>42.4391600000001</v>
      </c>
      <c r="E210" s="9">
        <v>5.55</v>
      </c>
      <c r="F210" s="9"/>
      <c r="G210" s="9"/>
      <c r="H210" s="9"/>
      <c r="I210" s="9"/>
      <c r="J210" s="10"/>
      <c r="K210" s="10"/>
      <c r="L210" s="10"/>
      <c r="M210" s="10"/>
      <c r="N210" s="10"/>
      <c r="O210" s="10"/>
      <c r="P210" s="10"/>
      <c r="Q210" s="86"/>
      <c r="R210" s="98"/>
    </row>
    <row r="211" spans="1:18" ht="24.75" customHeight="1" hidden="1" outlineLevel="2">
      <c r="A211" s="8" t="s">
        <v>188</v>
      </c>
      <c r="B211" s="53" t="s">
        <v>190</v>
      </c>
      <c r="C211" s="54">
        <v>57</v>
      </c>
      <c r="D211" s="9">
        <f>5676.51/1000</f>
        <v>5.67651</v>
      </c>
      <c r="E211" s="9">
        <v>5.55</v>
      </c>
      <c r="F211" s="9"/>
      <c r="G211" s="9"/>
      <c r="H211" s="9"/>
      <c r="I211" s="9"/>
      <c r="J211" s="10"/>
      <c r="K211" s="10"/>
      <c r="L211" s="10"/>
      <c r="M211" s="10"/>
      <c r="N211" s="10"/>
      <c r="O211" s="10"/>
      <c r="P211" s="10"/>
      <c r="Q211" s="86"/>
      <c r="R211" s="98"/>
    </row>
    <row r="212" spans="1:18" ht="24.75" customHeight="1" hidden="1" outlineLevel="2">
      <c r="A212" s="8" t="s">
        <v>188</v>
      </c>
      <c r="B212" s="53" t="s">
        <v>191</v>
      </c>
      <c r="C212" s="54">
        <v>40</v>
      </c>
      <c r="D212" s="9">
        <f>1946.78/1000</f>
        <v>1.94678</v>
      </c>
      <c r="E212" s="9">
        <v>5.55</v>
      </c>
      <c r="F212" s="9"/>
      <c r="G212" s="9"/>
      <c r="H212" s="9"/>
      <c r="I212" s="9"/>
      <c r="J212" s="10"/>
      <c r="K212" s="10"/>
      <c r="L212" s="10"/>
      <c r="M212" s="10"/>
      <c r="N212" s="10"/>
      <c r="O212" s="10"/>
      <c r="P212" s="10"/>
      <c r="Q212" s="86"/>
      <c r="R212" s="98"/>
    </row>
    <row r="213" spans="1:18" ht="24.75" customHeight="1" hidden="1" outlineLevel="2">
      <c r="A213" s="8" t="s">
        <v>188</v>
      </c>
      <c r="B213" s="53" t="s">
        <v>192</v>
      </c>
      <c r="C213" s="54">
        <v>30</v>
      </c>
      <c r="D213" s="9">
        <f>1425.5/1000</f>
        <v>1.4255</v>
      </c>
      <c r="E213" s="9">
        <v>5.55</v>
      </c>
      <c r="F213" s="9"/>
      <c r="G213" s="9"/>
      <c r="H213" s="9"/>
      <c r="I213" s="9"/>
      <c r="J213" s="10"/>
      <c r="K213" s="10"/>
      <c r="L213" s="10"/>
      <c r="M213" s="10"/>
      <c r="N213" s="10"/>
      <c r="O213" s="10"/>
      <c r="P213" s="10"/>
      <c r="Q213" s="86"/>
      <c r="R213" s="98"/>
    </row>
    <row r="214" spans="1:18" ht="24.75" customHeight="1" hidden="1" outlineLevel="2">
      <c r="A214" s="8" t="s">
        <v>188</v>
      </c>
      <c r="B214" s="53" t="s">
        <v>193</v>
      </c>
      <c r="C214" s="54">
        <v>81</v>
      </c>
      <c r="D214" s="9">
        <f>3714.31/1000</f>
        <v>3.71431</v>
      </c>
      <c r="E214" s="9">
        <v>5.55</v>
      </c>
      <c r="F214" s="9"/>
      <c r="G214" s="9"/>
      <c r="H214" s="9"/>
      <c r="I214" s="9"/>
      <c r="J214" s="10"/>
      <c r="K214" s="10"/>
      <c r="L214" s="10"/>
      <c r="M214" s="10"/>
      <c r="N214" s="10"/>
      <c r="O214" s="10"/>
      <c r="P214" s="10"/>
      <c r="Q214" s="86"/>
      <c r="R214" s="98"/>
    </row>
    <row r="215" spans="1:18" s="7" customFormat="1" ht="24.75" customHeight="1" hidden="1" outlineLevel="2">
      <c r="A215" s="14" t="s">
        <v>196</v>
      </c>
      <c r="B215" s="53" t="s">
        <v>194</v>
      </c>
      <c r="C215" s="54">
        <v>87</v>
      </c>
      <c r="D215" s="9">
        <f>4354.6/1000</f>
        <v>4.3546000000000005</v>
      </c>
      <c r="E215" s="9">
        <v>5.55</v>
      </c>
      <c r="F215" s="9"/>
      <c r="G215" s="9"/>
      <c r="H215" s="9"/>
      <c r="I215" s="9"/>
      <c r="J215" s="10"/>
      <c r="K215" s="10"/>
      <c r="L215" s="10"/>
      <c r="M215" s="10"/>
      <c r="N215" s="10"/>
      <c r="O215" s="10"/>
      <c r="P215" s="10"/>
      <c r="Q215" s="86"/>
      <c r="R215" s="98"/>
    </row>
    <row r="216" spans="1:18" s="7" customFormat="1" ht="24.75" customHeight="1" hidden="1" outlineLevel="2">
      <c r="A216" s="14"/>
      <c r="B216" s="53" t="s">
        <v>195</v>
      </c>
      <c r="C216" s="54">
        <v>5</v>
      </c>
      <c r="D216" s="9">
        <f>313.4/1000</f>
        <v>0.31339999999999996</v>
      </c>
      <c r="E216" s="9">
        <v>5.55</v>
      </c>
      <c r="F216" s="9"/>
      <c r="G216" s="9"/>
      <c r="H216" s="9"/>
      <c r="I216" s="9"/>
      <c r="J216" s="61"/>
      <c r="K216" s="61"/>
      <c r="L216" s="61"/>
      <c r="M216" s="61"/>
      <c r="N216" s="61"/>
      <c r="O216" s="61"/>
      <c r="P216" s="61"/>
      <c r="Q216" s="90"/>
      <c r="R216" s="102"/>
    </row>
    <row r="217" spans="1:18" s="7" customFormat="1" ht="24.75" customHeight="1" hidden="1" outlineLevel="1" collapsed="1">
      <c r="A217" s="14" t="s">
        <v>197</v>
      </c>
      <c r="B217" s="57" t="s">
        <v>196</v>
      </c>
      <c r="C217" s="62">
        <v>1423</v>
      </c>
      <c r="D217" s="61">
        <f>SUM(D218)</f>
        <v>84.5896999999999</v>
      </c>
      <c r="E217" s="9"/>
      <c r="F217" s="9"/>
      <c r="G217" s="9"/>
      <c r="H217" s="9"/>
      <c r="I217" s="9"/>
      <c r="J217" s="11"/>
      <c r="K217" s="11"/>
      <c r="L217" s="11"/>
      <c r="M217" s="11"/>
      <c r="N217" s="11"/>
      <c r="O217" s="11"/>
      <c r="P217" s="11"/>
      <c r="Q217" s="87"/>
      <c r="R217" s="99"/>
    </row>
    <row r="218" spans="1:18" ht="24.75" customHeight="1" hidden="1" outlineLevel="2">
      <c r="A218" s="8"/>
      <c r="B218" s="55" t="s">
        <v>196</v>
      </c>
      <c r="C218" s="54">
        <v>1423</v>
      </c>
      <c r="D218" s="9">
        <f>84589.6999999999/1000</f>
        <v>84.5896999999999</v>
      </c>
      <c r="E218" s="9">
        <v>5.55</v>
      </c>
      <c r="F218" s="9"/>
      <c r="G218" s="9"/>
      <c r="H218" s="9"/>
      <c r="I218" s="9"/>
      <c r="J218" s="56"/>
      <c r="K218" s="56"/>
      <c r="L218" s="56"/>
      <c r="M218" s="56"/>
      <c r="N218" s="56"/>
      <c r="O218" s="56"/>
      <c r="P218" s="56"/>
      <c r="Q218" s="88"/>
      <c r="R218" s="100"/>
    </row>
    <row r="219" spans="1:18" ht="24.75" customHeight="1" hidden="1" outlineLevel="1" collapsed="1">
      <c r="A219" s="8" t="s">
        <v>197</v>
      </c>
      <c r="B219" s="57" t="s">
        <v>197</v>
      </c>
      <c r="C219" s="58">
        <v>3681</v>
      </c>
      <c r="D219" s="56">
        <f>SUM(D220:D228)</f>
        <v>173.50737</v>
      </c>
      <c r="E219" s="9"/>
      <c r="F219" s="9"/>
      <c r="G219" s="9"/>
      <c r="H219" s="9"/>
      <c r="I219" s="9"/>
      <c r="J219" s="10"/>
      <c r="K219" s="10"/>
      <c r="L219" s="10"/>
      <c r="M219" s="10"/>
      <c r="N219" s="10"/>
      <c r="O219" s="10"/>
      <c r="P219" s="10"/>
      <c r="Q219" s="86"/>
      <c r="R219" s="98"/>
    </row>
    <row r="220" spans="1:18" ht="24.75" customHeight="1" hidden="1" outlineLevel="2">
      <c r="A220" s="8" t="s">
        <v>197</v>
      </c>
      <c r="B220" s="53" t="s">
        <v>197</v>
      </c>
      <c r="C220" s="54">
        <v>3069</v>
      </c>
      <c r="D220" s="9">
        <f>145973.3/1000</f>
        <v>145.9733</v>
      </c>
      <c r="E220" s="9">
        <v>5.55</v>
      </c>
      <c r="F220" s="9"/>
      <c r="G220" s="9"/>
      <c r="H220" s="9"/>
      <c r="I220" s="9"/>
      <c r="J220" s="10"/>
      <c r="K220" s="10"/>
      <c r="L220" s="10"/>
      <c r="M220" s="10"/>
      <c r="N220" s="10"/>
      <c r="O220" s="10"/>
      <c r="P220" s="10"/>
      <c r="Q220" s="86"/>
      <c r="R220" s="98"/>
    </row>
    <row r="221" spans="1:18" ht="24.75" customHeight="1" hidden="1" outlineLevel="2">
      <c r="A221" s="8" t="s">
        <v>197</v>
      </c>
      <c r="B221" s="53" t="s">
        <v>12</v>
      </c>
      <c r="C221" s="54">
        <v>94</v>
      </c>
      <c r="D221" s="9">
        <f>4188.58/1000</f>
        <v>4.18858</v>
      </c>
      <c r="E221" s="9">
        <v>5.55</v>
      </c>
      <c r="F221" s="9"/>
      <c r="G221" s="9"/>
      <c r="H221" s="9"/>
      <c r="I221" s="9"/>
      <c r="J221" s="10"/>
      <c r="K221" s="10"/>
      <c r="L221" s="10"/>
      <c r="M221" s="10"/>
      <c r="N221" s="10"/>
      <c r="O221" s="10"/>
      <c r="P221" s="10"/>
      <c r="Q221" s="86"/>
      <c r="R221" s="98"/>
    </row>
    <row r="222" spans="1:18" ht="24.75" customHeight="1" hidden="1" outlineLevel="2">
      <c r="A222" s="8" t="s">
        <v>197</v>
      </c>
      <c r="B222" s="53" t="s">
        <v>198</v>
      </c>
      <c r="C222" s="54">
        <v>39</v>
      </c>
      <c r="D222" s="9">
        <f>1857/1000</f>
        <v>1.857</v>
      </c>
      <c r="E222" s="9">
        <v>5.55</v>
      </c>
      <c r="F222" s="9"/>
      <c r="G222" s="9"/>
      <c r="H222" s="9"/>
      <c r="I222" s="9"/>
      <c r="J222" s="10"/>
      <c r="K222" s="10"/>
      <c r="L222" s="10"/>
      <c r="M222" s="10"/>
      <c r="N222" s="10"/>
      <c r="O222" s="10"/>
      <c r="P222" s="10"/>
      <c r="Q222" s="86"/>
      <c r="R222" s="98"/>
    </row>
    <row r="223" spans="1:18" ht="24.75" customHeight="1" hidden="1" outlineLevel="2">
      <c r="A223" s="8" t="s">
        <v>197</v>
      </c>
      <c r="B223" s="53" t="s">
        <v>199</v>
      </c>
      <c r="C223" s="54">
        <v>50</v>
      </c>
      <c r="D223" s="9">
        <f>2258.8/1000</f>
        <v>2.2588000000000004</v>
      </c>
      <c r="E223" s="9">
        <v>5.55</v>
      </c>
      <c r="F223" s="9"/>
      <c r="G223" s="9"/>
      <c r="H223" s="9"/>
      <c r="I223" s="9"/>
      <c r="J223" s="10"/>
      <c r="K223" s="10"/>
      <c r="L223" s="10"/>
      <c r="M223" s="10"/>
      <c r="N223" s="10"/>
      <c r="O223" s="10"/>
      <c r="P223" s="10"/>
      <c r="Q223" s="86"/>
      <c r="R223" s="98"/>
    </row>
    <row r="224" spans="1:18" ht="24.75" customHeight="1" hidden="1" outlineLevel="2">
      <c r="A224" s="8" t="s">
        <v>197</v>
      </c>
      <c r="B224" s="53" t="s">
        <v>200</v>
      </c>
      <c r="C224" s="54">
        <v>38</v>
      </c>
      <c r="D224" s="9">
        <f>1780.7/1000</f>
        <v>1.7807</v>
      </c>
      <c r="E224" s="9">
        <v>5.55</v>
      </c>
      <c r="F224" s="9"/>
      <c r="G224" s="9"/>
      <c r="H224" s="9"/>
      <c r="I224" s="9"/>
      <c r="J224" s="10"/>
      <c r="K224" s="10"/>
      <c r="L224" s="10"/>
      <c r="M224" s="10"/>
      <c r="N224" s="10"/>
      <c r="O224" s="10"/>
      <c r="P224" s="10"/>
      <c r="Q224" s="86"/>
      <c r="R224" s="98"/>
    </row>
    <row r="225" spans="1:18" ht="24.75" customHeight="1" hidden="1" outlineLevel="2">
      <c r="A225" s="8" t="s">
        <v>197</v>
      </c>
      <c r="B225" s="53" t="s">
        <v>201</v>
      </c>
      <c r="C225" s="54">
        <v>66</v>
      </c>
      <c r="D225" s="9">
        <f>3007.63/1000</f>
        <v>3.0076300000000002</v>
      </c>
      <c r="E225" s="9">
        <v>5.55</v>
      </c>
      <c r="F225" s="9"/>
      <c r="G225" s="9"/>
      <c r="H225" s="9"/>
      <c r="I225" s="9"/>
      <c r="J225" s="10"/>
      <c r="K225" s="10"/>
      <c r="L225" s="10"/>
      <c r="M225" s="10"/>
      <c r="N225" s="10"/>
      <c r="O225" s="10"/>
      <c r="P225" s="10"/>
      <c r="Q225" s="86"/>
      <c r="R225" s="98"/>
    </row>
    <row r="226" spans="1:18" ht="24.75" customHeight="1" hidden="1" outlineLevel="2">
      <c r="A226" s="8" t="s">
        <v>197</v>
      </c>
      <c r="B226" s="53" t="s">
        <v>202</v>
      </c>
      <c r="C226" s="54">
        <v>26</v>
      </c>
      <c r="D226" s="9">
        <f>1185.9/1000</f>
        <v>1.1859000000000002</v>
      </c>
      <c r="E226" s="9">
        <v>5.55</v>
      </c>
      <c r="F226" s="9"/>
      <c r="G226" s="9"/>
      <c r="H226" s="9"/>
      <c r="I226" s="9"/>
      <c r="J226" s="10"/>
      <c r="K226" s="10"/>
      <c r="L226" s="10"/>
      <c r="M226" s="10"/>
      <c r="N226" s="10"/>
      <c r="O226" s="10"/>
      <c r="P226" s="10"/>
      <c r="Q226" s="86"/>
      <c r="R226" s="98"/>
    </row>
    <row r="227" spans="1:18" s="7" customFormat="1" ht="24.75" customHeight="1" hidden="1" outlineLevel="2">
      <c r="A227" s="14" t="s">
        <v>205</v>
      </c>
      <c r="B227" s="53" t="s">
        <v>203</v>
      </c>
      <c r="C227" s="54">
        <v>122</v>
      </c>
      <c r="D227" s="9">
        <f>5379.69/1000</f>
        <v>5.379689999999999</v>
      </c>
      <c r="E227" s="9">
        <v>5.55</v>
      </c>
      <c r="F227" s="9"/>
      <c r="G227" s="9"/>
      <c r="H227" s="9"/>
      <c r="I227" s="9"/>
      <c r="J227" s="10"/>
      <c r="K227" s="10"/>
      <c r="L227" s="10"/>
      <c r="M227" s="10"/>
      <c r="N227" s="10"/>
      <c r="O227" s="10"/>
      <c r="P227" s="10"/>
      <c r="Q227" s="86"/>
      <c r="R227" s="98"/>
    </row>
    <row r="228" spans="1:18" ht="24.75" customHeight="1" hidden="1" outlineLevel="2">
      <c r="A228" s="8" t="s">
        <v>205</v>
      </c>
      <c r="B228" s="53" t="s">
        <v>204</v>
      </c>
      <c r="C228" s="54">
        <v>177</v>
      </c>
      <c r="D228" s="9">
        <f>7875.77/1000</f>
        <v>7.87577</v>
      </c>
      <c r="E228" s="9">
        <v>5.55</v>
      </c>
      <c r="F228" s="9"/>
      <c r="G228" s="9"/>
      <c r="H228" s="9"/>
      <c r="I228" s="9"/>
      <c r="J228" s="56"/>
      <c r="K228" s="56"/>
      <c r="L228" s="56"/>
      <c r="M228" s="56"/>
      <c r="N228" s="56"/>
      <c r="O228" s="56"/>
      <c r="P228" s="56"/>
      <c r="Q228" s="88"/>
      <c r="R228" s="100"/>
    </row>
    <row r="229" spans="1:18" ht="24.75" customHeight="1" hidden="1" outlineLevel="1" collapsed="1">
      <c r="A229" s="8" t="s">
        <v>205</v>
      </c>
      <c r="B229" s="57" t="s">
        <v>205</v>
      </c>
      <c r="C229" s="58">
        <v>3942</v>
      </c>
      <c r="D229" s="56">
        <f>SUM(D230:D241)</f>
        <v>192.24111000000008</v>
      </c>
      <c r="E229" s="9"/>
      <c r="F229" s="9"/>
      <c r="G229" s="9"/>
      <c r="H229" s="9"/>
      <c r="I229" s="9"/>
      <c r="J229" s="10"/>
      <c r="K229" s="10"/>
      <c r="L229" s="10"/>
      <c r="M229" s="10"/>
      <c r="N229" s="10"/>
      <c r="O229" s="10"/>
      <c r="P229" s="10"/>
      <c r="Q229" s="86"/>
      <c r="R229" s="98"/>
    </row>
    <row r="230" spans="1:18" ht="24.75" customHeight="1" hidden="1" outlineLevel="1">
      <c r="A230" s="8" t="s">
        <v>205</v>
      </c>
      <c r="B230" s="53" t="s">
        <v>206</v>
      </c>
      <c r="C230" s="54">
        <v>1565</v>
      </c>
      <c r="D230" s="9">
        <f>77081.01/1000</f>
        <v>77.08100999999999</v>
      </c>
      <c r="E230" s="9" t="s">
        <v>207</v>
      </c>
      <c r="F230" s="9"/>
      <c r="G230" s="9"/>
      <c r="H230" s="9"/>
      <c r="I230" s="9"/>
      <c r="J230" s="10"/>
      <c r="K230" s="10"/>
      <c r="L230" s="10"/>
      <c r="M230" s="10"/>
      <c r="N230" s="10"/>
      <c r="O230" s="10"/>
      <c r="P230" s="10"/>
      <c r="Q230" s="86"/>
      <c r="R230" s="98"/>
    </row>
    <row r="231" spans="1:18" ht="24.75" customHeight="1" hidden="1" outlineLevel="1">
      <c r="A231" s="8" t="s">
        <v>205</v>
      </c>
      <c r="B231" s="53" t="s">
        <v>208</v>
      </c>
      <c r="C231" s="54">
        <v>191</v>
      </c>
      <c r="D231" s="9">
        <f>10015.13/1000</f>
        <v>10.01513</v>
      </c>
      <c r="E231" s="9">
        <v>5.55</v>
      </c>
      <c r="F231" s="9"/>
      <c r="G231" s="9"/>
      <c r="H231" s="9"/>
      <c r="I231" s="9"/>
      <c r="J231" s="10"/>
      <c r="K231" s="10"/>
      <c r="L231" s="10"/>
      <c r="M231" s="10"/>
      <c r="N231" s="10"/>
      <c r="O231" s="10"/>
      <c r="P231" s="10"/>
      <c r="Q231" s="86"/>
      <c r="R231" s="98"/>
    </row>
    <row r="232" spans="1:18" ht="24.75" customHeight="1" hidden="1" outlineLevel="1">
      <c r="A232" s="8" t="s">
        <v>205</v>
      </c>
      <c r="B232" s="53" t="s">
        <v>209</v>
      </c>
      <c r="C232" s="54">
        <v>2</v>
      </c>
      <c r="D232" s="9">
        <f>73.82/1000</f>
        <v>0.07382</v>
      </c>
      <c r="E232" s="9">
        <v>5.55</v>
      </c>
      <c r="F232" s="9"/>
      <c r="G232" s="9"/>
      <c r="H232" s="9"/>
      <c r="I232" s="9"/>
      <c r="J232" s="10"/>
      <c r="K232" s="10"/>
      <c r="L232" s="10"/>
      <c r="M232" s="10"/>
      <c r="N232" s="10"/>
      <c r="O232" s="10"/>
      <c r="P232" s="10"/>
      <c r="Q232" s="86"/>
      <c r="R232" s="98"/>
    </row>
    <row r="233" spans="1:18" ht="24.75" customHeight="1" hidden="1" outlineLevel="1">
      <c r="A233" s="8" t="s">
        <v>205</v>
      </c>
      <c r="B233" s="53" t="s">
        <v>210</v>
      </c>
      <c r="C233" s="54">
        <v>215</v>
      </c>
      <c r="D233" s="9">
        <f>10208.21/1000</f>
        <v>10.20821</v>
      </c>
      <c r="E233" s="9">
        <v>5.55</v>
      </c>
      <c r="F233" s="9"/>
      <c r="G233" s="9"/>
      <c r="H233" s="9"/>
      <c r="I233" s="9"/>
      <c r="J233" s="10"/>
      <c r="K233" s="10"/>
      <c r="L233" s="10"/>
      <c r="M233" s="10"/>
      <c r="N233" s="10"/>
      <c r="O233" s="10"/>
      <c r="P233" s="10"/>
      <c r="Q233" s="86"/>
      <c r="R233" s="98"/>
    </row>
    <row r="234" spans="1:18" ht="24.75" customHeight="1" hidden="1" outlineLevel="1">
      <c r="A234" s="8" t="s">
        <v>205</v>
      </c>
      <c r="B234" s="53" t="s">
        <v>172</v>
      </c>
      <c r="C234" s="54">
        <v>974</v>
      </c>
      <c r="D234" s="9">
        <f>47556.3800000001/1000</f>
        <v>47.5563800000001</v>
      </c>
      <c r="E234" s="9">
        <v>5.55</v>
      </c>
      <c r="F234" s="9"/>
      <c r="G234" s="9"/>
      <c r="H234" s="9"/>
      <c r="I234" s="9"/>
      <c r="J234" s="10"/>
      <c r="K234" s="10"/>
      <c r="L234" s="10"/>
      <c r="M234" s="10"/>
      <c r="N234" s="10"/>
      <c r="O234" s="10"/>
      <c r="P234" s="10"/>
      <c r="Q234" s="86"/>
      <c r="R234" s="98"/>
    </row>
    <row r="235" spans="1:18" ht="24.75" customHeight="1" hidden="1" outlineLevel="1">
      <c r="A235" s="8" t="s">
        <v>205</v>
      </c>
      <c r="B235" s="53" t="s">
        <v>211</v>
      </c>
      <c r="C235" s="54">
        <v>149</v>
      </c>
      <c r="D235" s="9">
        <f>7642.25/1000</f>
        <v>7.64225</v>
      </c>
      <c r="E235" s="9">
        <v>5.55</v>
      </c>
      <c r="F235" s="9"/>
      <c r="G235" s="9"/>
      <c r="H235" s="9"/>
      <c r="I235" s="9"/>
      <c r="J235" s="10"/>
      <c r="K235" s="10"/>
      <c r="L235" s="10"/>
      <c r="M235" s="10"/>
      <c r="N235" s="10"/>
      <c r="O235" s="10"/>
      <c r="P235" s="10"/>
      <c r="Q235" s="86"/>
      <c r="R235" s="98"/>
    </row>
    <row r="236" spans="1:18" ht="24.75" customHeight="1" hidden="1" outlineLevel="1">
      <c r="A236" s="8" t="s">
        <v>205</v>
      </c>
      <c r="B236" s="53" t="s">
        <v>212</v>
      </c>
      <c r="C236" s="54">
        <v>165</v>
      </c>
      <c r="D236" s="9">
        <f>7815.56/1000</f>
        <v>7.8155600000000005</v>
      </c>
      <c r="E236" s="9">
        <v>5.55</v>
      </c>
      <c r="F236" s="9"/>
      <c r="G236" s="9"/>
      <c r="H236" s="9"/>
      <c r="I236" s="9"/>
      <c r="J236" s="10"/>
      <c r="K236" s="10"/>
      <c r="L236" s="10"/>
      <c r="M236" s="10"/>
      <c r="N236" s="10"/>
      <c r="O236" s="10"/>
      <c r="P236" s="10"/>
      <c r="Q236" s="86"/>
      <c r="R236" s="98"/>
    </row>
    <row r="237" spans="1:18" ht="24.75" customHeight="1" hidden="1" outlineLevel="1">
      <c r="A237" s="8" t="s">
        <v>205</v>
      </c>
      <c r="B237" s="53" t="s">
        <v>213</v>
      </c>
      <c r="C237" s="54">
        <v>225</v>
      </c>
      <c r="D237" s="9">
        <f>11011.28/1000</f>
        <v>11.011280000000001</v>
      </c>
      <c r="E237" s="9">
        <v>5.55</v>
      </c>
      <c r="F237" s="9"/>
      <c r="G237" s="9"/>
      <c r="H237" s="9"/>
      <c r="I237" s="9"/>
      <c r="J237" s="10"/>
      <c r="K237" s="10"/>
      <c r="L237" s="10"/>
      <c r="M237" s="10"/>
      <c r="N237" s="10"/>
      <c r="O237" s="10"/>
      <c r="P237" s="10"/>
      <c r="Q237" s="86"/>
      <c r="R237" s="98"/>
    </row>
    <row r="238" spans="1:18" ht="24.75" customHeight="1" hidden="1" outlineLevel="1">
      <c r="A238" s="8" t="s">
        <v>205</v>
      </c>
      <c r="B238" s="53" t="s">
        <v>214</v>
      </c>
      <c r="C238" s="54">
        <v>82</v>
      </c>
      <c r="D238" s="9">
        <f>3610.51/1000</f>
        <v>3.61051</v>
      </c>
      <c r="E238" s="9">
        <v>5.55</v>
      </c>
      <c r="F238" s="9"/>
      <c r="G238" s="9"/>
      <c r="H238" s="9"/>
      <c r="I238" s="9"/>
      <c r="J238" s="10"/>
      <c r="K238" s="10"/>
      <c r="L238" s="10"/>
      <c r="M238" s="10"/>
      <c r="N238" s="10"/>
      <c r="O238" s="10"/>
      <c r="P238" s="10"/>
      <c r="Q238" s="86"/>
      <c r="R238" s="98"/>
    </row>
    <row r="239" spans="1:18" ht="24.75" customHeight="1" hidden="1" outlineLevel="1">
      <c r="A239" s="16" t="s">
        <v>205</v>
      </c>
      <c r="B239" s="53" t="s">
        <v>215</v>
      </c>
      <c r="C239" s="54">
        <v>207</v>
      </c>
      <c r="D239" s="9">
        <f>9906.5/1000</f>
        <v>9.9065</v>
      </c>
      <c r="E239" s="9">
        <v>5.55</v>
      </c>
      <c r="F239" s="9"/>
      <c r="G239" s="9"/>
      <c r="H239" s="9"/>
      <c r="I239" s="9"/>
      <c r="J239" s="10"/>
      <c r="K239" s="10"/>
      <c r="L239" s="10"/>
      <c r="M239" s="10"/>
      <c r="N239" s="10"/>
      <c r="O239" s="10"/>
      <c r="P239" s="10"/>
      <c r="Q239" s="86"/>
      <c r="R239" s="98"/>
    </row>
    <row r="240" spans="1:18" ht="16.5" hidden="1" outlineLevel="1" thickBot="1">
      <c r="A240" s="63"/>
      <c r="B240" s="53" t="s">
        <v>216</v>
      </c>
      <c r="C240" s="54">
        <v>131</v>
      </c>
      <c r="D240" s="9">
        <f>5800.67/1000</f>
        <v>5.80067</v>
      </c>
      <c r="E240" s="9">
        <v>5.55</v>
      </c>
      <c r="F240" s="9"/>
      <c r="G240" s="9"/>
      <c r="H240" s="9"/>
      <c r="I240" s="9"/>
      <c r="J240" s="10"/>
      <c r="K240" s="10"/>
      <c r="L240" s="10"/>
      <c r="M240" s="10"/>
      <c r="N240" s="10"/>
      <c r="O240" s="10"/>
      <c r="P240" s="10"/>
      <c r="Q240" s="86"/>
      <c r="R240" s="98"/>
    </row>
    <row r="241" spans="1:18" ht="16.5" hidden="1" outlineLevel="1" thickBot="1">
      <c r="A241" s="64"/>
      <c r="B241" s="65" t="s">
        <v>217</v>
      </c>
      <c r="C241" s="66">
        <v>36</v>
      </c>
      <c r="D241" s="27">
        <f>1519.79/1000</f>
        <v>1.51979</v>
      </c>
      <c r="E241" s="27">
        <v>5.55</v>
      </c>
      <c r="F241" s="27"/>
      <c r="G241" s="27"/>
      <c r="H241" s="27"/>
      <c r="I241" s="27"/>
      <c r="J241" s="67"/>
      <c r="K241" s="67"/>
      <c r="L241" s="67"/>
      <c r="M241" s="67"/>
      <c r="N241" s="67"/>
      <c r="O241" s="67"/>
      <c r="P241" s="67"/>
      <c r="Q241" s="91"/>
      <c r="R241" s="103"/>
    </row>
    <row r="242" spans="1:18" ht="60" customHeight="1" outlineLevel="1" thickBot="1">
      <c r="A242" s="1"/>
      <c r="B242" s="34" t="s">
        <v>237</v>
      </c>
      <c r="C242" s="75"/>
      <c r="D242" s="28"/>
      <c r="E242" s="28"/>
      <c r="F242" s="28"/>
      <c r="G242" s="28"/>
      <c r="H242" s="28"/>
      <c r="I242" s="28"/>
      <c r="J242" s="76"/>
      <c r="K242" s="76"/>
      <c r="L242" s="76"/>
      <c r="M242" s="76"/>
      <c r="N242" s="76"/>
      <c r="O242" s="76"/>
      <c r="P242" s="76"/>
      <c r="Q242" s="77"/>
      <c r="R242" s="104"/>
    </row>
    <row r="243" spans="1:18" ht="16.5" outlineLevel="1" thickBot="1">
      <c r="A243" s="1"/>
      <c r="B243" s="80" t="s">
        <v>236</v>
      </c>
      <c r="C243" s="75"/>
      <c r="D243" s="28"/>
      <c r="E243" s="28"/>
      <c r="F243" s="28"/>
      <c r="G243" s="28"/>
      <c r="H243" s="28"/>
      <c r="I243" s="28"/>
      <c r="J243" s="76"/>
      <c r="K243" s="76"/>
      <c r="L243" s="76"/>
      <c r="M243" s="76"/>
      <c r="N243" s="76"/>
      <c r="O243" s="76"/>
      <c r="P243" s="76"/>
      <c r="Q243" s="77"/>
      <c r="R243" s="104"/>
    </row>
    <row r="244" spans="2:18" ht="15.75" thickBot="1">
      <c r="B244" s="68"/>
      <c r="C244" s="69">
        <v>195</v>
      </c>
      <c r="D244" s="70">
        <v>8820.12</v>
      </c>
      <c r="E244" s="71">
        <v>801</v>
      </c>
      <c r="F244" s="71">
        <v>501</v>
      </c>
      <c r="G244" s="107">
        <v>7131316400</v>
      </c>
      <c r="H244" s="107">
        <v>244</v>
      </c>
      <c r="I244" s="107">
        <v>225</v>
      </c>
      <c r="J244" s="70">
        <v>530000</v>
      </c>
      <c r="K244" s="72" t="s">
        <v>244</v>
      </c>
      <c r="L244" s="72" t="s">
        <v>245</v>
      </c>
      <c r="M244" s="72" t="s">
        <v>244</v>
      </c>
      <c r="N244" s="73">
        <v>395562.63</v>
      </c>
      <c r="O244" s="72" t="s">
        <v>246</v>
      </c>
      <c r="P244" s="72"/>
      <c r="Q244" s="92"/>
      <c r="R244" s="105"/>
    </row>
    <row r="245" spans="3:4" ht="15">
      <c r="C245" s="74"/>
      <c r="D245" s="74"/>
    </row>
    <row r="246" spans="2:18" ht="15.75">
      <c r="B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2:18" ht="29.25" customHeight="1">
      <c r="B247" s="108" t="s">
        <v>247</v>
      </c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</row>
    <row r="248" spans="2:18" ht="15.75">
      <c r="B248" s="18"/>
      <c r="J248" s="18"/>
      <c r="K248" s="18"/>
      <c r="L248" s="18"/>
      <c r="M248" s="18"/>
      <c r="N248" s="18"/>
      <c r="O248" s="18"/>
      <c r="P248" s="18"/>
      <c r="Q248" s="18"/>
      <c r="R248" s="18"/>
    </row>
    <row r="250" ht="15">
      <c r="B250" s="17" t="s">
        <v>248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B246:B249 B3 C246:I246 B5:B6 J246:R249 J3:R3 J24:R191 J5:R6 J207:R243 J14:R15 C3:I6" name="Диапазон1"/>
    <protectedRange sqref="J192:R206" name="Диапазон1_2"/>
    <protectedRange sqref="J16:R23" name="Диапазон2_1"/>
    <protectedRange sqref="B208:D218 C17:I24 B15:I16 B192:D192 B219:I241 B25:I191 E192:I218 B243:I243 C242:I242" name="Диапазон1_1"/>
    <protectedRange sqref="B193:D207" name="Диапазон1_2_1"/>
    <protectedRange sqref="B17:B24" name="Диапазон2_1_1"/>
  </protectedRanges>
  <mergeCells count="12">
    <mergeCell ref="B247:R247"/>
    <mergeCell ref="B3:R3"/>
    <mergeCell ref="B5:B6"/>
    <mergeCell ref="C5:C6"/>
    <mergeCell ref="D5:D6"/>
    <mergeCell ref="E5:E6"/>
    <mergeCell ref="J5:K5"/>
    <mergeCell ref="L5:M5"/>
    <mergeCell ref="N5:Q5"/>
    <mergeCell ref="R5:R6"/>
    <mergeCell ref="F5:I5"/>
    <mergeCell ref="Q4:R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Дмитриева Маркова</dc:creator>
  <cp:keywords/>
  <dc:description/>
  <cp:lastModifiedBy>Рождествно</cp:lastModifiedBy>
  <cp:lastPrinted>2017-01-12T10:09:32Z</cp:lastPrinted>
  <dcterms:created xsi:type="dcterms:W3CDTF">2016-04-13T10:00:14Z</dcterms:created>
  <dcterms:modified xsi:type="dcterms:W3CDTF">2017-02-16T06:44:00Z</dcterms:modified>
  <cp:category/>
  <cp:version/>
  <cp:contentType/>
  <cp:contentStatus/>
</cp:coreProperties>
</file>