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04" tabRatio="599" activeTab="0"/>
  </bookViews>
  <sheets>
    <sheet name="Таблица" sheetId="1" r:id="rId1"/>
  </sheets>
  <definedNames>
    <definedName name="_xlnm._FilterDatabase" localSheetId="0" hidden="1">'Таблица'!$A$4:$CI$24</definedName>
  </definedNames>
  <calcPr fullCalcOnLoad="1"/>
</workbook>
</file>

<file path=xl/comments1.xml><?xml version="1.0" encoding="utf-8"?>
<comments xmlns="http://schemas.openxmlformats.org/spreadsheetml/2006/main">
  <authors>
    <author>zaytseva</author>
  </authors>
  <commentList>
    <comment ref="AC15" authorId="0">
      <text>
        <r>
          <rPr>
            <b/>
            <sz val="9"/>
            <rFont val="Tahoma"/>
            <family val="2"/>
          </rPr>
          <t>zaytseva:</t>
        </r>
        <r>
          <rPr>
            <sz val="9"/>
            <rFont val="Tahoma"/>
            <family val="2"/>
          </rPr>
          <t xml:space="preserve">
тех надзор 1025, софин проект и стр-ва инж и трансп инфрастр-ры 4497.4 и 2690.8</t>
        </r>
      </text>
    </comment>
  </commentList>
</comments>
</file>

<file path=xl/sharedStrings.xml><?xml version="1.0" encoding="utf-8"?>
<sst xmlns="http://schemas.openxmlformats.org/spreadsheetml/2006/main" count="173" uniqueCount="70">
  <si>
    <t>в т.ч. по направлениям расходов, тыс.руб.</t>
  </si>
  <si>
    <t>содержание</t>
  </si>
  <si>
    <t>Большеколпанское СП</t>
  </si>
  <si>
    <t>Веревское СП</t>
  </si>
  <si>
    <t>Войсковицкое СП</t>
  </si>
  <si>
    <t>Вырицкое ГП</t>
  </si>
  <si>
    <t>Дружногорское ГП</t>
  </si>
  <si>
    <t>Елизаветинское СП</t>
  </si>
  <si>
    <t>Кобринское СП</t>
  </si>
  <si>
    <t>Новосветское СП</t>
  </si>
  <si>
    <t>Пудомягское СП</t>
  </si>
  <si>
    <t>Пудостьское СП</t>
  </si>
  <si>
    <t>Рождественское СП</t>
  </si>
  <si>
    <t>Сиверское ГП</t>
  </si>
  <si>
    <t>Сусанинское СП</t>
  </si>
  <si>
    <t>Сяськелевское СП</t>
  </si>
  <si>
    <t>Таицкое ГП</t>
  </si>
  <si>
    <t>МО г. Гатчина</t>
  </si>
  <si>
    <t>МО г. Коммунар</t>
  </si>
  <si>
    <t>расшифровка прочих</t>
  </si>
  <si>
    <t>Всего</t>
  </si>
  <si>
    <t>ОБ</t>
  </si>
  <si>
    <t>МБ</t>
  </si>
  <si>
    <t xml:space="preserve">капитальный ремонт </t>
  </si>
  <si>
    <t xml:space="preserve">ремонт </t>
  </si>
  <si>
    <t>ИТОГО</t>
  </si>
  <si>
    <t xml:space="preserve">прочие </t>
  </si>
  <si>
    <t>Наименование поселения</t>
  </si>
  <si>
    <t>Объем бюджетных ассигнований в соответствии с решением о бюджете   0409 "Дорожное хозяйство (дорожные фонды)*  тыс.руб.</t>
  </si>
  <si>
    <t>ГМР</t>
  </si>
  <si>
    <t>Объем доходов в соответствии с источниками, определенными решением о создании муниципального дорожного фонда (акцизы+областные)</t>
  </si>
  <si>
    <t>Акцизы</t>
  </si>
  <si>
    <t>Субсидии</t>
  </si>
  <si>
    <t>Разница ОБ</t>
  </si>
  <si>
    <t>Разница МБ</t>
  </si>
  <si>
    <t>Данные поселений ОБ</t>
  </si>
  <si>
    <t>Данные поселений МБ</t>
  </si>
  <si>
    <t>ИТОГИ ДОЛЖНЫ БЫТЬ НУЛЕВЫМИ</t>
  </si>
  <si>
    <t>строительство сети автомобильных дорог общего пользования и искуственных сооружений на них</t>
  </si>
  <si>
    <t>проектирование сети автомобильных дорог общего пользования и искусственных сооружений на них</t>
  </si>
  <si>
    <t>План на 2018 год, в том числе</t>
  </si>
  <si>
    <t>для заполнения справочной таблицы к ежемесячному отчету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</si>
  <si>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</si>
  <si>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сети автомобильных дорог общего пользования и искусственных сооружений на них, ВСЕГО</t>
  </si>
  <si>
    <t>капитальный ремонт и ремонт сети автомобильных дорог общего пользования и искусственных сооружений на них, ВСЕГО</t>
  </si>
  <si>
    <t>строительство (реконструкция), включая ПИР, ВСЕГО</t>
  </si>
  <si>
    <t>Кроме того, иные межбюджетные трансферты</t>
  </si>
  <si>
    <t>прочие неналоговые доходы</t>
  </si>
  <si>
    <t>Графы с "0" - это формулы, заполнются только свободные ячейки</t>
  </si>
  <si>
    <t>Заполняется в рублях и копейках</t>
  </si>
  <si>
    <t>Графы "Разница ОБ" и "Разница МБ" должны быть равны "0", иначе расхождения в цифрах!</t>
  </si>
  <si>
    <t>Составление и проверка смет, изготорление и установка дорожных знаков (53 шт.) и дорожных ограждений (72 секции0</t>
  </si>
  <si>
    <t>Обеспечение безопасности дорожного движения</t>
  </si>
  <si>
    <t>Безопасность дорожного движения</t>
  </si>
  <si>
    <t>Равзработка сметной документации</t>
  </si>
  <si>
    <t>Проверка проектно-сметной документации, экспертиза ремонта дорог</t>
  </si>
  <si>
    <t>Проведение мероприятий по обеспечению безопасности дорожного движения (приобретение и установка дорожных знаков)</t>
  </si>
  <si>
    <t>Зем. налог, безопасность дорожного движения, проверка смет и строительный контроль</t>
  </si>
  <si>
    <t>100.0 - безопасность дорожного движения, 90.0 - тех. надзор, 30.0 - ПСД</t>
  </si>
  <si>
    <t>Нанесение дорожной разметки,проверка смет и выдача заключения по ремонту автомобильных дорог</t>
  </si>
  <si>
    <t>Проверка сметной документации</t>
  </si>
  <si>
    <t>Итоги</t>
  </si>
  <si>
    <t>городские поселения</t>
  </si>
  <si>
    <t>сельские поселения</t>
  </si>
  <si>
    <t>Разработка и проверка смет, техконтроль, дорожные знаки (17)</t>
  </si>
  <si>
    <t>Безопасность дор. движения,  ПСД и экспертиза,  разработка техн. паспортов,  техн. надзор за работами</t>
  </si>
  <si>
    <t>Мероприятия по организации тех. надзора, разработка ПСД и экспертиза, мероприятия по безопасности дорожного движения</t>
  </si>
  <si>
    <r>
      <t xml:space="preserve">План на 2018 год </t>
    </r>
    <r>
      <rPr>
        <b/>
        <u val="single"/>
        <sz val="10"/>
        <color indexed="10"/>
        <rFont val="Arial"/>
        <family val="2"/>
      </rPr>
      <t>на 01.01.2019</t>
    </r>
  </si>
  <si>
    <t>План на 01.01.2019</t>
  </si>
  <si>
    <t>Факт на 01.01.2019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</si>
</sst>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57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2" fontId="57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2" fontId="59" fillId="0" borderId="17" xfId="0" applyNumberFormat="1" applyFont="1" applyFill="1" applyBorder="1" applyAlignment="1" applyProtection="1">
      <alignment vertical="center" wrapText="1"/>
      <protection locked="0"/>
    </xf>
    <xf numFmtId="172" fontId="8" fillId="0" borderId="17" xfId="0" applyNumberFormat="1" applyFont="1" applyFill="1" applyBorder="1" applyAlignment="1" applyProtection="1">
      <alignment vertical="center" wrapText="1"/>
      <protection locked="0"/>
    </xf>
    <xf numFmtId="172" fontId="59" fillId="34" borderId="18" xfId="0" applyNumberFormat="1" applyFont="1" applyFill="1" applyBorder="1" applyAlignment="1">
      <alignment wrapText="1"/>
    </xf>
    <xf numFmtId="0" fontId="59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172" fontId="59" fillId="0" borderId="19" xfId="0" applyNumberFormat="1" applyFont="1" applyFill="1" applyBorder="1" applyAlignment="1" applyProtection="1">
      <alignment vertical="center" wrapText="1"/>
      <protection locked="0"/>
    </xf>
    <xf numFmtId="0" fontId="0" fillId="34" borderId="0" xfId="0" applyFill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 applyProtection="1">
      <alignment horizontal="left" vertical="center" wrapText="1"/>
      <protection/>
    </xf>
    <xf numFmtId="4" fontId="1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35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vertical="center"/>
      <protection locked="0"/>
    </xf>
    <xf numFmtId="4" fontId="60" fillId="0" borderId="10" xfId="0" applyNumberFormat="1" applyFont="1" applyFill="1" applyBorder="1" applyAlignment="1">
      <alignment vertical="center"/>
    </xf>
    <xf numFmtId="4" fontId="60" fillId="0" borderId="10" xfId="0" applyNumberFormat="1" applyFont="1" applyFill="1" applyBorder="1" applyAlignment="1" applyProtection="1">
      <alignment vertical="center"/>
      <protection locked="0"/>
    </xf>
    <xf numFmtId="4" fontId="60" fillId="0" borderId="11" xfId="0" applyNumberFormat="1" applyFont="1" applyFill="1" applyBorder="1" applyAlignment="1" applyProtection="1">
      <alignment vertical="center"/>
      <protection locked="0"/>
    </xf>
    <xf numFmtId="4" fontId="60" fillId="34" borderId="14" xfId="0" applyNumberFormat="1" applyFont="1" applyFill="1" applyBorder="1" applyAlignment="1">
      <alignment vertical="center"/>
    </xf>
    <xf numFmtId="4" fontId="60" fillId="0" borderId="12" xfId="0" applyNumberFormat="1" applyFont="1" applyFill="1" applyBorder="1" applyAlignment="1" applyProtection="1">
      <alignment vertical="center"/>
      <protection locked="0"/>
    </xf>
    <xf numFmtId="172" fontId="4" fillId="33" borderId="12" xfId="0" applyNumberFormat="1" applyFont="1" applyFill="1" applyBorder="1" applyAlignment="1">
      <alignment horizontal="center" vertical="center" wrapText="1"/>
    </xf>
    <xf numFmtId="4" fontId="57" fillId="34" borderId="21" xfId="0" applyNumberFormat="1" applyFont="1" applyFill="1" applyBorder="1" applyAlignment="1" applyProtection="1">
      <alignment horizontal="right" vertical="center"/>
      <protection/>
    </xf>
    <xf numFmtId="172" fontId="61" fillId="0" borderId="0" xfId="0" applyNumberFormat="1" applyFont="1" applyAlignment="1">
      <alignment/>
    </xf>
    <xf numFmtId="4" fontId="57" fillId="34" borderId="1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" fontId="60" fillId="34" borderId="13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vertical="center"/>
    </xf>
    <xf numFmtId="4" fontId="60" fillId="3" borderId="10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172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0" fontId="3" fillId="3" borderId="11" xfId="0" applyFont="1" applyFill="1" applyBorder="1" applyAlignment="1">
      <alignment horizontal="center" vertical="center" wrapText="1"/>
    </xf>
    <xf numFmtId="4" fontId="60" fillId="3" borderId="13" xfId="0" applyNumberFormat="1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" fontId="60" fillId="3" borderId="14" xfId="0" applyNumberFormat="1" applyFont="1" applyFill="1" applyBorder="1" applyAlignment="1">
      <alignment vertical="center"/>
    </xf>
    <xf numFmtId="4" fontId="60" fillId="3" borderId="10" xfId="0" applyNumberFormat="1" applyFont="1" applyFill="1" applyBorder="1" applyAlignment="1" applyProtection="1">
      <alignment vertical="center"/>
      <protection locked="0"/>
    </xf>
    <xf numFmtId="4" fontId="60" fillId="3" borderId="12" xfId="0" applyNumberFormat="1" applyFont="1" applyFill="1" applyBorder="1" applyAlignment="1" applyProtection="1">
      <alignment vertical="center"/>
      <protection locked="0"/>
    </xf>
    <xf numFmtId="3" fontId="4" fillId="33" borderId="1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7" fillId="34" borderId="13" xfId="0" applyNumberFormat="1" applyFont="1" applyFill="1" applyBorder="1" applyAlignment="1" applyProtection="1">
      <alignment vertical="center"/>
      <protection hidden="1"/>
    </xf>
    <xf numFmtId="4" fontId="60" fillId="3" borderId="13" xfId="0" applyNumberFormat="1" applyFont="1" applyFill="1" applyBorder="1" applyAlignment="1">
      <alignment vertical="center"/>
    </xf>
    <xf numFmtId="4" fontId="60" fillId="34" borderId="10" xfId="0" applyNumberFormat="1" applyFont="1" applyFill="1" applyBorder="1" applyAlignment="1" applyProtection="1">
      <alignment vertical="center"/>
      <protection locked="0"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4" fontId="5" fillId="3" borderId="10" xfId="0" applyNumberFormat="1" applyFont="1" applyFill="1" applyBorder="1" applyAlignment="1" applyProtection="1">
      <alignment vertical="center"/>
      <protection locked="0"/>
    </xf>
    <xf numFmtId="4" fontId="60" fillId="34" borderId="14" xfId="0" applyNumberFormat="1" applyFont="1" applyFill="1" applyBorder="1" applyAlignment="1">
      <alignment/>
    </xf>
    <xf numFmtId="4" fontId="60" fillId="0" borderId="10" xfId="0" applyNumberFormat="1" applyFont="1" applyBorder="1" applyAlignment="1" applyProtection="1">
      <alignment/>
      <protection locked="0"/>
    </xf>
    <xf numFmtId="4" fontId="60" fillId="0" borderId="10" xfId="0" applyNumberFormat="1" applyFont="1" applyBorder="1" applyAlignment="1">
      <alignment/>
    </xf>
    <xf numFmtId="4" fontId="60" fillId="3" borderId="14" xfId="0" applyNumberFormat="1" applyFont="1" applyFill="1" applyBorder="1" applyAlignment="1">
      <alignment/>
    </xf>
    <xf numFmtId="4" fontId="60" fillId="3" borderId="10" xfId="0" applyNumberFormat="1" applyFont="1" applyFill="1" applyBorder="1" applyAlignment="1" applyProtection="1">
      <alignment/>
      <protection locked="0"/>
    </xf>
    <xf numFmtId="4" fontId="60" fillId="3" borderId="10" xfId="0" applyNumberFormat="1" applyFont="1" applyFill="1" applyBorder="1" applyAlignment="1">
      <alignment/>
    </xf>
    <xf numFmtId="4" fontId="60" fillId="3" borderId="12" xfId="0" applyNumberFormat="1" applyFont="1" applyFill="1" applyBorder="1" applyAlignment="1" applyProtection="1">
      <alignment/>
      <protection locked="0"/>
    </xf>
    <xf numFmtId="4" fontId="60" fillId="34" borderId="13" xfId="0" applyNumberFormat="1" applyFont="1" applyFill="1" applyBorder="1" applyAlignment="1">
      <alignment/>
    </xf>
    <xf numFmtId="4" fontId="60" fillId="0" borderId="10" xfId="0" applyNumberFormat="1" applyFont="1" applyFill="1" applyBorder="1" applyAlignment="1" applyProtection="1">
      <alignment/>
      <protection locked="0"/>
    </xf>
    <xf numFmtId="4" fontId="60" fillId="0" borderId="10" xfId="0" applyNumberFormat="1" applyFont="1" applyFill="1" applyBorder="1" applyAlignment="1">
      <alignment/>
    </xf>
    <xf numFmtId="4" fontId="60" fillId="0" borderId="11" xfId="0" applyNumberFormat="1" applyFont="1" applyFill="1" applyBorder="1" applyAlignment="1" applyProtection="1">
      <alignment/>
      <protection locked="0"/>
    </xf>
    <xf numFmtId="4" fontId="60" fillId="0" borderId="12" xfId="0" applyNumberFormat="1" applyFont="1" applyBorder="1" applyAlignment="1" applyProtection="1">
      <alignment/>
      <protection locked="0"/>
    </xf>
    <xf numFmtId="4" fontId="5" fillId="0" borderId="11" xfId="0" applyNumberFormat="1" applyFont="1" applyFill="1" applyBorder="1" applyAlignment="1" applyProtection="1">
      <alignment vertical="center"/>
      <protection locked="0"/>
    </xf>
    <xf numFmtId="4" fontId="5" fillId="3" borderId="12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vertical="center"/>
      <protection locked="0"/>
    </xf>
    <xf numFmtId="4" fontId="6" fillId="3" borderId="10" xfId="0" applyNumberFormat="1" applyFont="1" applyFill="1" applyBorder="1" applyAlignment="1" applyProtection="1">
      <alignment vertical="center"/>
      <protection locked="0"/>
    </xf>
    <xf numFmtId="4" fontId="6" fillId="3" borderId="12" xfId="0" applyNumberFormat="1" applyFont="1" applyFill="1" applyBorder="1" applyAlignment="1" applyProtection="1">
      <alignment vertical="center"/>
      <protection locked="0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4" fontId="9" fillId="0" borderId="22" xfId="0" applyNumberFormat="1" applyFont="1" applyFill="1" applyBorder="1" applyAlignment="1" applyProtection="1">
      <alignment horizontal="right" vertical="center" wrapText="1"/>
      <protection/>
    </xf>
    <xf numFmtId="4" fontId="5" fillId="0" borderId="22" xfId="0" applyNumberFormat="1" applyFont="1" applyFill="1" applyBorder="1" applyAlignment="1" applyProtection="1">
      <alignment horizontal="right" vertical="center" wrapText="1"/>
      <protection/>
    </xf>
    <xf numFmtId="4" fontId="57" fillId="34" borderId="22" xfId="0" applyNumberFormat="1" applyFont="1" applyFill="1" applyBorder="1" applyAlignment="1" applyProtection="1">
      <alignment vertical="center"/>
      <protection hidden="1"/>
    </xf>
    <xf numFmtId="4" fontId="57" fillId="34" borderId="23" xfId="0" applyNumberFormat="1" applyFont="1" applyFill="1" applyBorder="1" applyAlignment="1" applyProtection="1">
      <alignment vertical="center"/>
      <protection/>
    </xf>
    <xf numFmtId="4" fontId="5" fillId="3" borderId="22" xfId="0" applyNumberFormat="1" applyFont="1" applyFill="1" applyBorder="1" applyAlignment="1">
      <alignment vertical="center"/>
    </xf>
    <xf numFmtId="4" fontId="60" fillId="3" borderId="23" xfId="0" applyNumberFormat="1" applyFont="1" applyFill="1" applyBorder="1" applyAlignment="1">
      <alignment vertical="center"/>
    </xf>
    <xf numFmtId="4" fontId="60" fillId="34" borderId="22" xfId="0" applyNumberFormat="1" applyFont="1" applyFill="1" applyBorder="1" applyAlignment="1">
      <alignment vertical="center"/>
    </xf>
    <xf numFmtId="4" fontId="60" fillId="0" borderId="23" xfId="0" applyNumberFormat="1" applyFont="1" applyFill="1" applyBorder="1" applyAlignment="1" applyProtection="1">
      <alignment vertical="center"/>
      <protection locked="0"/>
    </xf>
    <xf numFmtId="4" fontId="60" fillId="0" borderId="23" xfId="0" applyNumberFormat="1" applyFont="1" applyFill="1" applyBorder="1" applyAlignment="1">
      <alignment vertical="center"/>
    </xf>
    <xf numFmtId="4" fontId="60" fillId="0" borderId="24" xfId="0" applyNumberFormat="1" applyFont="1" applyFill="1" applyBorder="1" applyAlignment="1" applyProtection="1">
      <alignment vertical="center"/>
      <protection locked="0"/>
    </xf>
    <xf numFmtId="4" fontId="60" fillId="34" borderId="25" xfId="0" applyNumberFormat="1" applyFont="1" applyFill="1" applyBorder="1" applyAlignment="1">
      <alignment vertical="center"/>
    </xf>
    <xf numFmtId="4" fontId="60" fillId="3" borderId="25" xfId="0" applyNumberFormat="1" applyFont="1" applyFill="1" applyBorder="1" applyAlignment="1">
      <alignment vertical="center"/>
    </xf>
    <xf numFmtId="4" fontId="60" fillId="3" borderId="23" xfId="0" applyNumberFormat="1" applyFont="1" applyFill="1" applyBorder="1" applyAlignment="1" applyProtection="1">
      <alignment vertical="center"/>
      <protection locked="0"/>
    </xf>
    <xf numFmtId="4" fontId="60" fillId="3" borderId="26" xfId="0" applyNumberFormat="1" applyFont="1" applyFill="1" applyBorder="1" applyAlignment="1" applyProtection="1">
      <alignment vertical="center"/>
      <protection locked="0"/>
    </xf>
    <xf numFmtId="4" fontId="60" fillId="0" borderId="26" xfId="0" applyNumberFormat="1" applyFont="1" applyFill="1" applyBorder="1" applyAlignment="1" applyProtection="1">
      <alignment vertical="center"/>
      <protection locked="0"/>
    </xf>
    <xf numFmtId="4" fontId="62" fillId="34" borderId="21" xfId="0" applyNumberFormat="1" applyFont="1" applyFill="1" applyBorder="1" applyAlignment="1" applyProtection="1">
      <alignment horizontal="right" vertical="center"/>
      <protection/>
    </xf>
    <xf numFmtId="4" fontId="57" fillId="3" borderId="21" xfId="0" applyNumberFormat="1" applyFont="1" applyFill="1" applyBorder="1" applyAlignment="1" applyProtection="1">
      <alignment horizontal="right" vertical="center"/>
      <protection/>
    </xf>
    <xf numFmtId="4" fontId="62" fillId="3" borderId="21" xfId="0" applyNumberFormat="1" applyFont="1" applyFill="1" applyBorder="1" applyAlignment="1" applyProtection="1">
      <alignment horizontal="right" vertical="center"/>
      <protection/>
    </xf>
    <xf numFmtId="4" fontId="57" fillId="3" borderId="27" xfId="0" applyNumberFormat="1" applyFont="1" applyFill="1" applyBorder="1" applyAlignment="1" applyProtection="1">
      <alignment horizontal="right" vertical="center"/>
      <protection/>
    </xf>
    <xf numFmtId="4" fontId="63" fillId="34" borderId="13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64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4" fontId="66" fillId="5" borderId="10" xfId="0" applyNumberFormat="1" applyFont="1" applyFill="1" applyBorder="1" applyAlignment="1" applyProtection="1">
      <alignment vertical="center"/>
      <protection/>
    </xf>
    <xf numFmtId="4" fontId="66" fillId="5" borderId="23" xfId="0" applyNumberFormat="1" applyFont="1" applyFill="1" applyBorder="1" applyAlignment="1" applyProtection="1">
      <alignment vertical="center"/>
      <protection/>
    </xf>
    <xf numFmtId="4" fontId="67" fillId="34" borderId="21" xfId="0" applyNumberFormat="1" applyFont="1" applyFill="1" applyBorder="1" applyAlignment="1" applyProtection="1">
      <alignment horizontal="right" vertical="center"/>
      <protection/>
    </xf>
    <xf numFmtId="4" fontId="55" fillId="0" borderId="0" xfId="0" applyNumberFormat="1" applyFont="1" applyAlignment="1">
      <alignment/>
    </xf>
    <xf numFmtId="172" fontId="55" fillId="34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5" fillId="34" borderId="0" xfId="0" applyFont="1" applyFill="1" applyAlignment="1">
      <alignment/>
    </xf>
    <xf numFmtId="4" fontId="65" fillId="33" borderId="10" xfId="0" applyNumberFormat="1" applyFont="1" applyFill="1" applyBorder="1" applyAlignment="1">
      <alignment horizontal="center" vertical="center" wrapText="1"/>
    </xf>
    <xf numFmtId="4" fontId="55" fillId="34" borderId="0" xfId="0" applyNumberFormat="1" applyFont="1" applyFill="1" applyAlignment="1">
      <alignment/>
    </xf>
    <xf numFmtId="172" fontId="65" fillId="33" borderId="12" xfId="0" applyNumberFormat="1" applyFont="1" applyFill="1" applyBorder="1" applyAlignment="1">
      <alignment horizontal="center" vertical="center" wrapText="1"/>
    </xf>
    <xf numFmtId="4" fontId="66" fillId="6" borderId="10" xfId="0" applyNumberFormat="1" applyFont="1" applyFill="1" applyBorder="1" applyAlignment="1" applyProtection="1">
      <alignment horizontal="right" vertical="center" wrapText="1"/>
      <protection/>
    </xf>
    <xf numFmtId="4" fontId="66" fillId="6" borderId="23" xfId="0" applyNumberFormat="1" applyFont="1" applyFill="1" applyBorder="1" applyAlignment="1" applyProtection="1">
      <alignment horizontal="right" vertical="center" wrapText="1"/>
      <protection/>
    </xf>
    <xf numFmtId="0" fontId="64" fillId="7" borderId="10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4" fontId="66" fillId="7" borderId="10" xfId="0" applyNumberFormat="1" applyFont="1" applyFill="1" applyBorder="1" applyAlignment="1" applyProtection="1">
      <alignment horizontal="right" vertical="center" wrapText="1"/>
      <protection/>
    </xf>
    <xf numFmtId="4" fontId="66" fillId="7" borderId="23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55" fillId="0" borderId="10" xfId="0" applyNumberFormat="1" applyFont="1" applyFill="1" applyBorder="1" applyAlignment="1">
      <alignment/>
    </xf>
    <xf numFmtId="4" fontId="55" fillId="0" borderId="13" xfId="0" applyNumberFormat="1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0" fillId="0" borderId="10" xfId="0" applyBorder="1" applyAlignment="1">
      <alignment/>
    </xf>
    <xf numFmtId="4" fontId="66" fillId="0" borderId="10" xfId="0" applyNumberFormat="1" applyFont="1" applyFill="1" applyBorder="1" applyAlignment="1" applyProtection="1">
      <alignment vertical="center"/>
      <protection/>
    </xf>
    <xf numFmtId="4" fontId="66" fillId="0" borderId="10" xfId="0" applyNumberFormat="1" applyFont="1" applyFill="1" applyBorder="1" applyAlignment="1" applyProtection="1">
      <alignment horizontal="right" vertical="center" wrapText="1"/>
      <protection/>
    </xf>
    <xf numFmtId="4" fontId="66" fillId="0" borderId="2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23" xfId="0" applyNumberFormat="1" applyFont="1" applyFill="1" applyBorder="1" applyAlignment="1" applyProtection="1">
      <alignment horizontal="right" vertical="center" wrapText="1"/>
      <protection/>
    </xf>
    <xf numFmtId="4" fontId="5" fillId="0" borderId="23" xfId="0" applyNumberFormat="1" applyFont="1" applyFill="1" applyBorder="1" applyAlignment="1" applyProtection="1">
      <alignment vertical="center"/>
      <protection/>
    </xf>
    <xf numFmtId="0" fontId="5" fillId="10" borderId="28" xfId="0" applyFont="1" applyFill="1" applyBorder="1" applyAlignment="1" applyProtection="1">
      <alignment vertical="center" wrapText="1"/>
      <protection/>
    </xf>
    <xf numFmtId="0" fontId="5" fillId="10" borderId="28" xfId="0" applyFont="1" applyFill="1" applyBorder="1" applyAlignment="1" applyProtection="1">
      <alignment horizontal="left" vertical="center" wrapText="1"/>
      <protection/>
    </xf>
    <xf numFmtId="4" fontId="66" fillId="0" borderId="24" xfId="0" applyNumberFormat="1" applyFont="1" applyFill="1" applyBorder="1" applyAlignment="1" applyProtection="1">
      <alignment vertical="center"/>
      <protection locked="0"/>
    </xf>
    <xf numFmtId="4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" fillId="12" borderId="16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4" fontId="66" fillId="12" borderId="13" xfId="0" applyNumberFormat="1" applyFont="1" applyFill="1" applyBorder="1" applyAlignment="1" applyProtection="1">
      <alignment horizontal="right" vertical="center" wrapText="1"/>
      <protection/>
    </xf>
    <xf numFmtId="4" fontId="66" fillId="12" borderId="13" xfId="0" applyNumberFormat="1" applyFont="1" applyFill="1" applyBorder="1" applyAlignment="1" applyProtection="1">
      <alignment vertical="center" wrapText="1"/>
      <protection/>
    </xf>
    <xf numFmtId="4" fontId="66" fillId="12" borderId="13" xfId="0" applyNumberFormat="1" applyFont="1" applyFill="1" applyBorder="1" applyAlignment="1" applyProtection="1">
      <alignment vertical="center"/>
      <protection/>
    </xf>
    <xf numFmtId="4" fontId="66" fillId="12" borderId="22" xfId="0" applyNumberFormat="1" applyFont="1" applyFill="1" applyBorder="1" applyAlignment="1" applyProtection="1">
      <alignment horizontal="right" vertical="center" wrapText="1"/>
      <protection/>
    </xf>
    <xf numFmtId="4" fontId="57" fillId="12" borderId="21" xfId="0" applyNumberFormat="1" applyFont="1" applyFill="1" applyBorder="1" applyAlignment="1" applyProtection="1">
      <alignment horizontal="right" vertical="center"/>
      <protection/>
    </xf>
    <xf numFmtId="0" fontId="0" fillId="12" borderId="0" xfId="0" applyFill="1" applyAlignment="1">
      <alignment/>
    </xf>
    <xf numFmtId="4" fontId="55" fillId="12" borderId="10" xfId="0" applyNumberFormat="1" applyFont="1" applyFill="1" applyBorder="1" applyAlignment="1">
      <alignment/>
    </xf>
    <xf numFmtId="0" fontId="55" fillId="12" borderId="10" xfId="0" applyFont="1" applyFill="1" applyBorder="1" applyAlignment="1">
      <alignment/>
    </xf>
    <xf numFmtId="4" fontId="66" fillId="12" borderId="22" xfId="0" applyNumberFormat="1" applyFont="1" applyFill="1" applyBorder="1" applyAlignment="1" applyProtection="1">
      <alignment vertical="center"/>
      <protection/>
    </xf>
    <xf numFmtId="4" fontId="0" fillId="9" borderId="10" xfId="0" applyNumberFormat="1" applyFill="1" applyBorder="1" applyAlignment="1">
      <alignment/>
    </xf>
    <xf numFmtId="4" fontId="55" fillId="9" borderId="0" xfId="0" applyNumberFormat="1" applyFont="1" applyFill="1" applyAlignment="1">
      <alignment/>
    </xf>
    <xf numFmtId="4" fontId="0" fillId="9" borderId="0" xfId="0" applyNumberFormat="1" applyFill="1" applyAlignment="1">
      <alignment/>
    </xf>
    <xf numFmtId="4" fontId="59" fillId="9" borderId="0" xfId="0" applyNumberFormat="1" applyFont="1" applyFill="1" applyAlignment="1">
      <alignment wrapText="1"/>
    </xf>
    <xf numFmtId="0" fontId="0" fillId="9" borderId="0" xfId="0" applyFill="1" applyAlignment="1">
      <alignment/>
    </xf>
    <xf numFmtId="0" fontId="55" fillId="9" borderId="0" xfId="0" applyFont="1" applyFill="1" applyAlignment="1">
      <alignment/>
    </xf>
    <xf numFmtId="0" fontId="59" fillId="9" borderId="0" xfId="0" applyFont="1" applyFill="1" applyAlignment="1">
      <alignment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66" fillId="0" borderId="13" xfId="0" applyNumberFormat="1" applyFont="1" applyFill="1" applyBorder="1" applyAlignment="1" applyProtection="1">
      <alignment vertical="center"/>
      <protection/>
    </xf>
    <xf numFmtId="4" fontId="66" fillId="0" borderId="22" xfId="0" applyNumberFormat="1" applyFont="1" applyFill="1" applyBorder="1" applyAlignment="1" applyProtection="1">
      <alignment vertical="center"/>
      <protection/>
    </xf>
    <xf numFmtId="4" fontId="57" fillId="0" borderId="21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/>
    </xf>
    <xf numFmtId="4" fontId="66" fillId="0" borderId="13" xfId="0" applyNumberFormat="1" applyFont="1" applyFill="1" applyBorder="1" applyAlignment="1" applyProtection="1">
      <alignment horizontal="right" vertical="center" wrapText="1"/>
      <protection/>
    </xf>
    <xf numFmtId="4" fontId="66" fillId="0" borderId="13" xfId="0" applyNumberFormat="1" applyFont="1" applyFill="1" applyBorder="1" applyAlignment="1" applyProtection="1">
      <alignment vertical="center" wrapText="1"/>
      <protection/>
    </xf>
    <xf numFmtId="4" fontId="66" fillId="0" borderId="22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 applyProtection="1">
      <alignment vertical="center" wrapText="1"/>
      <protection/>
    </xf>
    <xf numFmtId="4" fontId="66" fillId="36" borderId="10" xfId="0" applyNumberFormat="1" applyFont="1" applyFill="1" applyBorder="1" applyAlignment="1" applyProtection="1">
      <alignment horizontal="right" vertical="center" wrapText="1"/>
      <protection/>
    </xf>
    <xf numFmtId="4" fontId="9" fillId="36" borderId="13" xfId="0" applyNumberFormat="1" applyFont="1" applyFill="1" applyBorder="1" applyAlignment="1" applyProtection="1">
      <alignment horizontal="right" vertical="center" wrapText="1"/>
      <protection/>
    </xf>
    <xf numFmtId="4" fontId="5" fillId="36" borderId="13" xfId="0" applyNumberFormat="1" applyFont="1" applyFill="1" applyBorder="1" applyAlignment="1" applyProtection="1">
      <alignment vertical="center" wrapText="1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4" fontId="66" fillId="36" borderId="13" xfId="0" applyNumberFormat="1" applyFont="1" applyFill="1" applyBorder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vertical="center" wrapText="1"/>
      <protection/>
    </xf>
    <xf numFmtId="4" fontId="66" fillId="36" borderId="13" xfId="0" applyNumberFormat="1" applyFont="1" applyFill="1" applyBorder="1" applyAlignment="1" applyProtection="1">
      <alignment vertical="center" wrapText="1"/>
      <protection/>
    </xf>
    <xf numFmtId="4" fontId="57" fillId="36" borderId="13" xfId="0" applyNumberFormat="1" applyFont="1" applyFill="1" applyBorder="1" applyAlignment="1" applyProtection="1">
      <alignment vertical="center"/>
      <protection hidden="1"/>
    </xf>
    <xf numFmtId="4" fontId="66" fillId="36" borderId="10" xfId="0" applyNumberFormat="1" applyFont="1" applyFill="1" applyBorder="1" applyAlignment="1" applyProtection="1">
      <alignment vertical="center"/>
      <protection/>
    </xf>
    <xf numFmtId="4" fontId="57" fillId="36" borderId="10" xfId="0" applyNumberFormat="1" applyFont="1" applyFill="1" applyBorder="1" applyAlignment="1" applyProtection="1">
      <alignment vertical="center"/>
      <protection/>
    </xf>
    <xf numFmtId="4" fontId="60" fillId="36" borderId="13" xfId="0" applyNumberFormat="1" applyFont="1" applyFill="1" applyBorder="1" applyAlignment="1">
      <alignment/>
    </xf>
    <xf numFmtId="4" fontId="60" fillId="36" borderId="10" xfId="0" applyNumberFormat="1" applyFont="1" applyFill="1" applyBorder="1" applyAlignment="1" applyProtection="1">
      <alignment vertical="center"/>
      <protection locked="0"/>
    </xf>
    <xf numFmtId="4" fontId="60" fillId="36" borderId="10" xfId="0" applyNumberFormat="1" applyFont="1" applyFill="1" applyBorder="1" applyAlignment="1">
      <alignment/>
    </xf>
    <xf numFmtId="4" fontId="60" fillId="36" borderId="12" xfId="0" applyNumberFormat="1" applyFont="1" applyFill="1" applyBorder="1" applyAlignment="1" applyProtection="1">
      <alignment vertical="center"/>
      <protection locked="0"/>
    </xf>
    <xf numFmtId="4" fontId="60" fillId="36" borderId="10" xfId="0" applyNumberFormat="1" applyFont="1" applyFill="1" applyBorder="1" applyAlignment="1" applyProtection="1">
      <alignment/>
      <protection locked="0"/>
    </xf>
    <xf numFmtId="4" fontId="60" fillId="36" borderId="13" xfId="0" applyNumberFormat="1" applyFont="1" applyFill="1" applyBorder="1" applyAlignment="1" applyProtection="1">
      <alignment vertical="center"/>
      <protection locked="0"/>
    </xf>
    <xf numFmtId="4" fontId="60" fillId="36" borderId="11" xfId="0" applyNumberFormat="1" applyFont="1" applyFill="1" applyBorder="1" applyAlignment="1" applyProtection="1">
      <alignment/>
      <protection locked="0"/>
    </xf>
    <xf numFmtId="4" fontId="60" fillId="36" borderId="14" xfId="0" applyNumberFormat="1" applyFont="1" applyFill="1" applyBorder="1" applyAlignment="1">
      <alignment/>
    </xf>
    <xf numFmtId="4" fontId="60" fillId="36" borderId="14" xfId="0" applyNumberFormat="1" applyFont="1" applyFill="1" applyBorder="1" applyAlignment="1">
      <alignment vertical="center"/>
    </xf>
    <xf numFmtId="4" fontId="60" fillId="36" borderId="10" xfId="0" applyNumberFormat="1" applyFont="1" applyFill="1" applyBorder="1" applyAlignment="1">
      <alignment vertical="center"/>
    </xf>
    <xf numFmtId="4" fontId="60" fillId="36" borderId="12" xfId="0" applyNumberFormat="1" applyFont="1" applyFill="1" applyBorder="1" applyAlignment="1" applyProtection="1">
      <alignment/>
      <protection locked="0"/>
    </xf>
    <xf numFmtId="4" fontId="60" fillId="36" borderId="13" xfId="0" applyNumberFormat="1" applyFont="1" applyFill="1" applyBorder="1" applyAlignment="1">
      <alignment vertical="center"/>
    </xf>
    <xf numFmtId="172" fontId="59" fillId="36" borderId="17" xfId="0" applyNumberFormat="1" applyFont="1" applyFill="1" applyBorder="1" applyAlignment="1" applyProtection="1">
      <alignment wrapText="1"/>
      <protection locked="0"/>
    </xf>
    <xf numFmtId="0" fontId="0" fillId="36" borderId="0" xfId="0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fgColor rgb="FF92D05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6"/>
  <sheetViews>
    <sheetView tabSelected="1" zoomScale="80" zoomScaleNormal="80" zoomScaleSheetLayoutView="80" zoomScalePageLayoutView="0" workbookViewId="0" topLeftCell="BZ7">
      <selection activeCell="CK19" sqref="CK19"/>
    </sheetView>
  </sheetViews>
  <sheetFormatPr defaultColWidth="9.140625" defaultRowHeight="15" outlineLevelCol="1"/>
  <cols>
    <col min="1" max="1" width="22.57421875" style="0" customWidth="1"/>
    <col min="2" max="2" width="16.00390625" style="139" customWidth="1"/>
    <col min="3" max="3" width="15.00390625" style="19" hidden="1" customWidth="1" outlineLevel="1"/>
    <col min="4" max="4" width="15.28125" style="19" hidden="1" customWidth="1" outlineLevel="1"/>
    <col min="5" max="5" width="15.00390625" style="19" hidden="1" customWidth="1" outlineLevel="1"/>
    <col min="6" max="6" width="14.140625" style="168" hidden="1" customWidth="1" outlineLevel="1"/>
    <col min="7" max="7" width="2.28125" style="19" customWidth="1" collapsed="1"/>
    <col min="8" max="8" width="14.7109375" style="19" hidden="1" customWidth="1" outlineLevel="1"/>
    <col min="9" max="9" width="14.140625" style="19" hidden="1" customWidth="1" outlineLevel="1"/>
    <col min="10" max="10" width="15.28125" style="19" hidden="1" customWidth="1" outlineLevel="1"/>
    <col min="11" max="11" width="15.140625" style="168" hidden="1" customWidth="1" outlineLevel="1"/>
    <col min="12" max="12" width="2.57421875" style="19" customWidth="1" collapsed="1"/>
    <col min="13" max="13" width="16.00390625" style="35" customWidth="1"/>
    <col min="14" max="14" width="16.421875" style="35" customWidth="1"/>
    <col min="15" max="15" width="14.57421875" style="35" customWidth="1" outlineLevel="1"/>
    <col min="16" max="16" width="15.57421875" style="126" customWidth="1" outlineLevel="1"/>
    <col min="17" max="17" width="15.421875" style="35" customWidth="1" outlineLevel="1"/>
    <col min="18" max="18" width="16.57421875" style="126" customWidth="1" outlineLevel="1"/>
    <col min="19" max="19" width="16.28125" style="35" customWidth="1"/>
    <col min="20" max="20" width="15.140625" style="35" customWidth="1"/>
    <col min="21" max="21" width="14.7109375" style="35" customWidth="1"/>
    <col min="22" max="22" width="14.7109375" style="35" customWidth="1" outlineLevel="1"/>
    <col min="23" max="23" width="15.57421875" style="126" customWidth="1" outlineLevel="1"/>
    <col min="24" max="24" width="17.00390625" style="35" customWidth="1" outlineLevel="1"/>
    <col min="25" max="25" width="15.57421875" style="126" customWidth="1" outlineLevel="1"/>
    <col min="26" max="26" width="15.28125" style="35" customWidth="1"/>
    <col min="27" max="27" width="16.28125" style="61" customWidth="1"/>
    <col min="28" max="28" width="13.7109375" style="61" customWidth="1"/>
    <col min="29" max="29" width="14.421875" style="61" customWidth="1"/>
    <col min="30" max="30" width="13.7109375" style="61" customWidth="1"/>
    <col min="31" max="31" width="13.140625" style="61" customWidth="1"/>
    <col min="32" max="32" width="12.7109375" style="61" customWidth="1"/>
    <col min="33" max="33" width="15.8515625" style="0" customWidth="1" outlineLevel="1"/>
    <col min="34" max="34" width="14.28125" style="0" customWidth="1" outlineLevel="1"/>
    <col min="35" max="35" width="14.7109375" style="0" customWidth="1" outlineLevel="1"/>
    <col min="36" max="36" width="13.140625" style="0" customWidth="1" outlineLevel="1"/>
    <col min="37" max="37" width="14.57421875" style="0" customWidth="1" outlineLevel="1"/>
    <col min="38" max="38" width="12.7109375" style="0" customWidth="1" outlineLevel="1"/>
    <col min="39" max="40" width="13.28125" style="0" customWidth="1" outlineLevel="1"/>
    <col min="41" max="41" width="12.8515625" style="0" customWidth="1" outlineLevel="1"/>
    <col min="42" max="42" width="12.7109375" style="0" customWidth="1" outlineLevel="1"/>
    <col min="43" max="43" width="9.57421875" style="0" customWidth="1" outlineLevel="1"/>
    <col min="44" max="44" width="12.421875" style="0" customWidth="1" outlineLevel="1"/>
    <col min="45" max="45" width="15.421875" style="61" customWidth="1"/>
    <col min="46" max="46" width="14.8515625" style="61" customWidth="1"/>
    <col min="47" max="47" width="14.7109375" style="61" customWidth="1"/>
    <col min="48" max="48" width="15.140625" style="61" customWidth="1"/>
    <col min="49" max="49" width="15.28125" style="61" customWidth="1"/>
    <col min="50" max="50" width="14.421875" style="61" customWidth="1"/>
    <col min="51" max="51" width="10.421875" style="0" customWidth="1" outlineLevel="1"/>
    <col min="52" max="52" width="8.421875" style="0" customWidth="1" outlineLevel="1"/>
    <col min="53" max="54" width="10.421875" style="0" customWidth="1" outlineLevel="1"/>
    <col min="55" max="56" width="8.421875" style="0" customWidth="1" outlineLevel="1"/>
    <col min="57" max="57" width="14.7109375" style="0" customWidth="1" outlineLevel="1"/>
    <col min="58" max="58" width="13.7109375" style="0" customWidth="1" outlineLevel="1"/>
    <col min="59" max="59" width="15.7109375" style="0" customWidth="1" outlineLevel="1"/>
    <col min="60" max="60" width="15.28125" style="0" customWidth="1" outlineLevel="1"/>
    <col min="61" max="61" width="14.421875" style="0" customWidth="1" outlineLevel="1"/>
    <col min="62" max="62" width="15.140625" style="0" customWidth="1" outlineLevel="1"/>
    <col min="63" max="63" width="14.7109375" style="61" customWidth="1"/>
    <col min="64" max="64" width="12.7109375" style="61" customWidth="1"/>
    <col min="65" max="65" width="16.28125" style="61" customWidth="1"/>
    <col min="66" max="66" width="14.28125" style="61" customWidth="1"/>
    <col min="67" max="67" width="13.57421875" style="61" customWidth="1"/>
    <col min="68" max="68" width="13.7109375" style="61" customWidth="1"/>
    <col min="69" max="69" width="14.7109375" style="61" customWidth="1"/>
    <col min="70" max="70" width="13.7109375" style="61" customWidth="1"/>
    <col min="71" max="71" width="17.28125" style="61" customWidth="1"/>
    <col min="72" max="72" width="14.8515625" style="61" customWidth="1"/>
    <col min="73" max="73" width="12.7109375" style="61" customWidth="1"/>
    <col min="74" max="74" width="16.57421875" style="61" customWidth="1"/>
    <col min="75" max="75" width="14.7109375" style="0" customWidth="1" outlineLevel="1"/>
    <col min="76" max="76" width="13.8515625" style="0" customWidth="1" outlineLevel="1"/>
    <col min="77" max="77" width="16.421875" style="0" customWidth="1" outlineLevel="1"/>
    <col min="78" max="78" width="15.140625" style="0" customWidth="1" outlineLevel="1"/>
    <col min="79" max="79" width="13.7109375" style="0" customWidth="1" outlineLevel="1"/>
    <col min="80" max="80" width="16.28125" style="0" customWidth="1" outlineLevel="1"/>
    <col min="81" max="81" width="13.421875" style="0" customWidth="1" outlineLevel="1"/>
    <col min="82" max="82" width="11.7109375" style="0" customWidth="1" outlineLevel="1"/>
    <col min="83" max="83" width="15.421875" style="0" customWidth="1" outlineLevel="1"/>
    <col min="84" max="84" width="14.28125" style="0" customWidth="1" outlineLevel="1"/>
    <col min="85" max="85" width="9.28125" style="0" customWidth="1" outlineLevel="1"/>
    <col min="86" max="86" width="14.8515625" style="0" customWidth="1" outlineLevel="1"/>
    <col min="87" max="87" width="56.7109375" style="26" customWidth="1" outlineLevel="1"/>
    <col min="88" max="88" width="12.28125" style="0" customWidth="1"/>
  </cols>
  <sheetData>
    <row r="1" spans="1:87" ht="24" customHeight="1" thickBot="1">
      <c r="A1" s="210" t="s">
        <v>27</v>
      </c>
      <c r="B1" s="189" t="s">
        <v>30</v>
      </c>
      <c r="C1" s="20"/>
      <c r="D1" s="20"/>
      <c r="E1" s="20"/>
      <c r="F1" s="159"/>
      <c r="G1" s="20"/>
      <c r="H1" s="20"/>
      <c r="I1" s="20"/>
      <c r="J1" s="20"/>
      <c r="K1" s="159"/>
      <c r="L1" s="20"/>
      <c r="M1" s="190" t="s">
        <v>28</v>
      </c>
      <c r="N1" s="191"/>
      <c r="O1" s="191"/>
      <c r="P1" s="191"/>
      <c r="Q1" s="191"/>
      <c r="R1" s="191"/>
      <c r="S1" s="191"/>
      <c r="T1" s="191"/>
      <c r="U1" s="191"/>
      <c r="V1" s="192"/>
      <c r="W1" s="192"/>
      <c r="X1" s="192"/>
      <c r="Y1" s="192"/>
      <c r="Z1" s="193"/>
      <c r="AA1" s="212" t="s">
        <v>0</v>
      </c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3"/>
    </row>
    <row r="2" spans="1:87" ht="27.75" customHeight="1" thickBot="1">
      <c r="A2" s="211"/>
      <c r="B2" s="189"/>
      <c r="C2" s="227" t="s">
        <v>68</v>
      </c>
      <c r="D2" s="228"/>
      <c r="E2" s="228"/>
      <c r="F2" s="229"/>
      <c r="G2" s="179"/>
      <c r="H2" s="227" t="s">
        <v>69</v>
      </c>
      <c r="I2" s="228"/>
      <c r="J2" s="228"/>
      <c r="K2" s="229"/>
      <c r="L2" s="180"/>
      <c r="M2" s="194"/>
      <c r="N2" s="195"/>
      <c r="O2" s="195"/>
      <c r="P2" s="195"/>
      <c r="Q2" s="195"/>
      <c r="R2" s="195"/>
      <c r="S2" s="195"/>
      <c r="T2" s="195"/>
      <c r="U2" s="195"/>
      <c r="V2" s="196"/>
      <c r="W2" s="196"/>
      <c r="X2" s="196"/>
      <c r="Y2" s="196"/>
      <c r="Z2" s="197"/>
      <c r="AA2" s="214" t="s">
        <v>45</v>
      </c>
      <c r="AB2" s="215"/>
      <c r="AC2" s="215"/>
      <c r="AD2" s="215"/>
      <c r="AE2" s="215"/>
      <c r="AF2" s="216"/>
      <c r="AG2" s="223" t="s">
        <v>38</v>
      </c>
      <c r="AH2" s="207"/>
      <c r="AI2" s="207"/>
      <c r="AJ2" s="207"/>
      <c r="AK2" s="207"/>
      <c r="AL2" s="208"/>
      <c r="AM2" s="223" t="s">
        <v>39</v>
      </c>
      <c r="AN2" s="207"/>
      <c r="AO2" s="207"/>
      <c r="AP2" s="207"/>
      <c r="AQ2" s="207"/>
      <c r="AR2" s="208"/>
      <c r="AS2" s="217" t="s">
        <v>44</v>
      </c>
      <c r="AT2" s="215"/>
      <c r="AU2" s="215"/>
      <c r="AV2" s="215"/>
      <c r="AW2" s="215"/>
      <c r="AX2" s="216"/>
      <c r="AY2" s="206" t="s">
        <v>23</v>
      </c>
      <c r="AZ2" s="207"/>
      <c r="BA2" s="207"/>
      <c r="BB2" s="207"/>
      <c r="BC2" s="207"/>
      <c r="BD2" s="208"/>
      <c r="BE2" s="206" t="s">
        <v>24</v>
      </c>
      <c r="BF2" s="207"/>
      <c r="BG2" s="207"/>
      <c r="BH2" s="207"/>
      <c r="BI2" s="207"/>
      <c r="BJ2" s="208"/>
      <c r="BK2" s="217" t="s">
        <v>42</v>
      </c>
      <c r="BL2" s="215"/>
      <c r="BM2" s="215"/>
      <c r="BN2" s="215"/>
      <c r="BO2" s="215"/>
      <c r="BP2" s="216"/>
      <c r="BQ2" s="217" t="s">
        <v>43</v>
      </c>
      <c r="BR2" s="215"/>
      <c r="BS2" s="215"/>
      <c r="BT2" s="215"/>
      <c r="BU2" s="215"/>
      <c r="BV2" s="216"/>
      <c r="BW2" s="206" t="s">
        <v>1</v>
      </c>
      <c r="BX2" s="207"/>
      <c r="BY2" s="207"/>
      <c r="BZ2" s="207"/>
      <c r="CA2" s="207"/>
      <c r="CB2" s="208"/>
      <c r="CC2" s="198" t="s">
        <v>26</v>
      </c>
      <c r="CD2" s="199"/>
      <c r="CE2" s="199"/>
      <c r="CF2" s="199"/>
      <c r="CG2" s="199"/>
      <c r="CH2" s="199"/>
      <c r="CI2" s="200"/>
    </row>
    <row r="3" spans="1:87" s="2" customFormat="1" ht="99.75" customHeight="1">
      <c r="A3" s="211"/>
      <c r="B3" s="189"/>
      <c r="C3" s="21" t="s">
        <v>20</v>
      </c>
      <c r="D3" s="32" t="s">
        <v>31</v>
      </c>
      <c r="E3" s="21" t="s">
        <v>32</v>
      </c>
      <c r="F3" s="160" t="s">
        <v>46</v>
      </c>
      <c r="G3" s="21"/>
      <c r="H3" s="21" t="s">
        <v>20</v>
      </c>
      <c r="I3" s="32" t="s">
        <v>31</v>
      </c>
      <c r="J3" s="21" t="s">
        <v>32</v>
      </c>
      <c r="K3" s="160" t="s">
        <v>46</v>
      </c>
      <c r="L3" s="21"/>
      <c r="M3" s="218" t="s">
        <v>40</v>
      </c>
      <c r="N3" s="219"/>
      <c r="O3" s="219"/>
      <c r="P3" s="219"/>
      <c r="Q3" s="219"/>
      <c r="R3" s="219"/>
      <c r="S3" s="219"/>
      <c r="T3" s="195" t="s">
        <v>69</v>
      </c>
      <c r="U3" s="195"/>
      <c r="V3" s="196"/>
      <c r="W3" s="196"/>
      <c r="X3" s="196"/>
      <c r="Y3" s="196"/>
      <c r="Z3" s="197"/>
      <c r="AA3" s="205" t="s">
        <v>40</v>
      </c>
      <c r="AB3" s="204"/>
      <c r="AC3" s="204"/>
      <c r="AD3" s="204" t="s">
        <v>69</v>
      </c>
      <c r="AE3" s="204"/>
      <c r="AF3" s="209"/>
      <c r="AG3" s="188" t="s">
        <v>40</v>
      </c>
      <c r="AH3" s="188"/>
      <c r="AI3" s="188"/>
      <c r="AJ3" s="203" t="s">
        <v>69</v>
      </c>
      <c r="AK3" s="203"/>
      <c r="AL3" s="203"/>
      <c r="AM3" s="188" t="s">
        <v>40</v>
      </c>
      <c r="AN3" s="188"/>
      <c r="AO3" s="188"/>
      <c r="AP3" s="203" t="s">
        <v>69</v>
      </c>
      <c r="AQ3" s="203"/>
      <c r="AR3" s="203"/>
      <c r="AS3" s="204" t="s">
        <v>40</v>
      </c>
      <c r="AT3" s="204"/>
      <c r="AU3" s="204"/>
      <c r="AV3" s="204" t="s">
        <v>69</v>
      </c>
      <c r="AW3" s="204"/>
      <c r="AX3" s="204"/>
      <c r="AY3" s="188" t="s">
        <v>40</v>
      </c>
      <c r="AZ3" s="188"/>
      <c r="BA3" s="188"/>
      <c r="BB3" s="203" t="s">
        <v>69</v>
      </c>
      <c r="BC3" s="203"/>
      <c r="BD3" s="203"/>
      <c r="BE3" s="188" t="s">
        <v>40</v>
      </c>
      <c r="BF3" s="188"/>
      <c r="BG3" s="188"/>
      <c r="BH3" s="203" t="s">
        <v>69</v>
      </c>
      <c r="BI3" s="203"/>
      <c r="BJ3" s="203"/>
      <c r="BK3" s="204" t="s">
        <v>40</v>
      </c>
      <c r="BL3" s="204"/>
      <c r="BM3" s="204"/>
      <c r="BN3" s="204" t="s">
        <v>69</v>
      </c>
      <c r="BO3" s="204"/>
      <c r="BP3" s="204"/>
      <c r="BQ3" s="204" t="s">
        <v>40</v>
      </c>
      <c r="BR3" s="204"/>
      <c r="BS3" s="204"/>
      <c r="BT3" s="204" t="s">
        <v>69</v>
      </c>
      <c r="BU3" s="204"/>
      <c r="BV3" s="204"/>
      <c r="BW3" s="188" t="s">
        <v>40</v>
      </c>
      <c r="BX3" s="188"/>
      <c r="BY3" s="188"/>
      <c r="BZ3" s="203" t="s">
        <v>69</v>
      </c>
      <c r="CA3" s="203"/>
      <c r="CB3" s="203"/>
      <c r="CC3" s="188" t="s">
        <v>40</v>
      </c>
      <c r="CD3" s="188"/>
      <c r="CE3" s="188"/>
      <c r="CF3" s="203" t="s">
        <v>69</v>
      </c>
      <c r="CG3" s="203"/>
      <c r="CH3" s="203"/>
      <c r="CI3" s="201" t="s">
        <v>19</v>
      </c>
    </row>
    <row r="4" spans="1:87" ht="55.5" customHeight="1">
      <c r="A4" s="211"/>
      <c r="B4" s="135" t="s">
        <v>67</v>
      </c>
      <c r="C4" s="21"/>
      <c r="D4" s="21"/>
      <c r="E4" s="21"/>
      <c r="F4" s="161" t="s">
        <v>47</v>
      </c>
      <c r="G4" s="21"/>
      <c r="H4" s="21"/>
      <c r="I4" s="21"/>
      <c r="J4" s="21"/>
      <c r="K4" s="161" t="s">
        <v>47</v>
      </c>
      <c r="L4" s="21"/>
      <c r="M4" s="118" t="s">
        <v>20</v>
      </c>
      <c r="N4" s="36" t="s">
        <v>21</v>
      </c>
      <c r="O4" s="34" t="s">
        <v>35</v>
      </c>
      <c r="P4" s="121" t="s">
        <v>33</v>
      </c>
      <c r="Q4" s="34" t="s">
        <v>36</v>
      </c>
      <c r="R4" s="121" t="s">
        <v>34</v>
      </c>
      <c r="S4" s="36" t="s">
        <v>22</v>
      </c>
      <c r="T4" s="119" t="s">
        <v>20</v>
      </c>
      <c r="U4" s="36" t="s">
        <v>21</v>
      </c>
      <c r="V4" s="34" t="s">
        <v>35</v>
      </c>
      <c r="W4" s="121" t="s">
        <v>33</v>
      </c>
      <c r="X4" s="34" t="s">
        <v>36</v>
      </c>
      <c r="Y4" s="121" t="s">
        <v>34</v>
      </c>
      <c r="Z4" s="120" t="s">
        <v>22</v>
      </c>
      <c r="AA4" s="53" t="s">
        <v>20</v>
      </c>
      <c r="AB4" s="54" t="s">
        <v>21</v>
      </c>
      <c r="AC4" s="54" t="s">
        <v>22</v>
      </c>
      <c r="AD4" s="54" t="s">
        <v>20</v>
      </c>
      <c r="AE4" s="54" t="s">
        <v>21</v>
      </c>
      <c r="AF4" s="55" t="s">
        <v>22</v>
      </c>
      <c r="AG4" s="28" t="s">
        <v>20</v>
      </c>
      <c r="AH4" s="50" t="s">
        <v>21</v>
      </c>
      <c r="AI4" s="50" t="s">
        <v>22</v>
      </c>
      <c r="AJ4" s="14" t="s">
        <v>20</v>
      </c>
      <c r="AK4" s="50" t="s">
        <v>21</v>
      </c>
      <c r="AL4" s="50" t="s">
        <v>22</v>
      </c>
      <c r="AM4" s="28" t="s">
        <v>20</v>
      </c>
      <c r="AN4" s="50" t="s">
        <v>21</v>
      </c>
      <c r="AO4" s="50" t="s">
        <v>22</v>
      </c>
      <c r="AP4" s="14" t="s">
        <v>20</v>
      </c>
      <c r="AQ4" s="50" t="s">
        <v>21</v>
      </c>
      <c r="AR4" s="50" t="s">
        <v>22</v>
      </c>
      <c r="AS4" s="53" t="s">
        <v>20</v>
      </c>
      <c r="AT4" s="54" t="s">
        <v>21</v>
      </c>
      <c r="AU4" s="54" t="s">
        <v>22</v>
      </c>
      <c r="AV4" s="54" t="s">
        <v>20</v>
      </c>
      <c r="AW4" s="54" t="s">
        <v>21</v>
      </c>
      <c r="AX4" s="64" t="s">
        <v>22</v>
      </c>
      <c r="AY4" s="10" t="s">
        <v>20</v>
      </c>
      <c r="AZ4" s="4" t="s">
        <v>21</v>
      </c>
      <c r="BA4" s="4" t="s">
        <v>22</v>
      </c>
      <c r="BB4" s="14" t="s">
        <v>20</v>
      </c>
      <c r="BC4" s="4" t="s">
        <v>21</v>
      </c>
      <c r="BD4" s="5" t="s">
        <v>22</v>
      </c>
      <c r="BE4" s="11" t="s">
        <v>20</v>
      </c>
      <c r="BF4" s="4" t="s">
        <v>21</v>
      </c>
      <c r="BG4" s="4" t="s">
        <v>22</v>
      </c>
      <c r="BH4" s="14" t="s">
        <v>20</v>
      </c>
      <c r="BI4" s="4" t="s">
        <v>21</v>
      </c>
      <c r="BJ4" s="5" t="s">
        <v>22</v>
      </c>
      <c r="BK4" s="66" t="s">
        <v>20</v>
      </c>
      <c r="BL4" s="54" t="s">
        <v>21</v>
      </c>
      <c r="BM4" s="54" t="s">
        <v>22</v>
      </c>
      <c r="BN4" s="54" t="s">
        <v>20</v>
      </c>
      <c r="BO4" s="54" t="s">
        <v>21</v>
      </c>
      <c r="BP4" s="64" t="s">
        <v>22</v>
      </c>
      <c r="BQ4" s="66" t="s">
        <v>20</v>
      </c>
      <c r="BR4" s="54" t="s">
        <v>21</v>
      </c>
      <c r="BS4" s="54" t="s">
        <v>22</v>
      </c>
      <c r="BT4" s="54" t="s">
        <v>20</v>
      </c>
      <c r="BU4" s="54" t="s">
        <v>21</v>
      </c>
      <c r="BV4" s="64" t="s">
        <v>22</v>
      </c>
      <c r="BW4" s="11" t="s">
        <v>20</v>
      </c>
      <c r="BX4" s="9" t="s">
        <v>21</v>
      </c>
      <c r="BY4" s="9" t="s">
        <v>22</v>
      </c>
      <c r="BZ4" s="14" t="s">
        <v>20</v>
      </c>
      <c r="CA4" s="9" t="s">
        <v>21</v>
      </c>
      <c r="CB4" s="5" t="s">
        <v>22</v>
      </c>
      <c r="CC4" s="11" t="s">
        <v>20</v>
      </c>
      <c r="CD4" s="9" t="s">
        <v>21</v>
      </c>
      <c r="CE4" s="9" t="s">
        <v>22</v>
      </c>
      <c r="CF4" s="14" t="s">
        <v>20</v>
      </c>
      <c r="CG4" s="9" t="s">
        <v>21</v>
      </c>
      <c r="CH4" s="27" t="s">
        <v>22</v>
      </c>
      <c r="CI4" s="202"/>
    </row>
    <row r="5" spans="1:87" ht="12" customHeight="1">
      <c r="A5" s="39">
        <v>1</v>
      </c>
      <c r="B5" s="136">
        <v>2</v>
      </c>
      <c r="C5" s="22"/>
      <c r="D5" s="22"/>
      <c r="E5" s="22"/>
      <c r="F5" s="162"/>
      <c r="G5" s="22"/>
      <c r="H5" s="22"/>
      <c r="I5" s="22"/>
      <c r="J5" s="22"/>
      <c r="K5" s="162"/>
      <c r="L5" s="22"/>
      <c r="M5" s="16">
        <v>3</v>
      </c>
      <c r="N5" s="1">
        <v>4</v>
      </c>
      <c r="O5" s="1"/>
      <c r="P5" s="122"/>
      <c r="Q5" s="37"/>
      <c r="R5" s="130"/>
      <c r="S5" s="38">
        <v>5</v>
      </c>
      <c r="T5" s="6">
        <v>6</v>
      </c>
      <c r="U5" s="72">
        <v>7</v>
      </c>
      <c r="V5" s="46"/>
      <c r="W5" s="132"/>
      <c r="X5" s="46"/>
      <c r="Y5" s="132"/>
      <c r="Z5" s="52">
        <v>8</v>
      </c>
      <c r="AA5" s="56">
        <v>9</v>
      </c>
      <c r="AB5" s="57">
        <v>10</v>
      </c>
      <c r="AC5" s="57">
        <v>11</v>
      </c>
      <c r="AD5" s="57">
        <v>12</v>
      </c>
      <c r="AE5" s="57">
        <v>13</v>
      </c>
      <c r="AF5" s="58">
        <v>14</v>
      </c>
      <c r="AG5" s="224" t="s">
        <v>41</v>
      </c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6"/>
      <c r="AS5" s="230" t="s">
        <v>41</v>
      </c>
      <c r="AT5" s="221"/>
      <c r="AU5" s="221"/>
      <c r="AV5" s="221"/>
      <c r="AW5" s="221"/>
      <c r="AX5" s="231"/>
      <c r="AY5" s="12">
        <v>15</v>
      </c>
      <c r="AZ5" s="1">
        <v>16</v>
      </c>
      <c r="BA5" s="1">
        <v>17</v>
      </c>
      <c r="BB5" s="15">
        <v>18</v>
      </c>
      <c r="BC5" s="1">
        <v>19</v>
      </c>
      <c r="BD5" s="8">
        <v>20</v>
      </c>
      <c r="BE5" s="13">
        <v>21</v>
      </c>
      <c r="BF5" s="1">
        <v>22</v>
      </c>
      <c r="BG5" s="1">
        <v>23</v>
      </c>
      <c r="BH5" s="15">
        <v>24</v>
      </c>
      <c r="BI5" s="1">
        <v>25</v>
      </c>
      <c r="BJ5" s="8">
        <v>26</v>
      </c>
      <c r="BK5" s="67">
        <v>27</v>
      </c>
      <c r="BL5" s="57">
        <v>28</v>
      </c>
      <c r="BM5" s="57">
        <v>29</v>
      </c>
      <c r="BN5" s="57">
        <v>30</v>
      </c>
      <c r="BO5" s="57">
        <v>31</v>
      </c>
      <c r="BP5" s="68">
        <v>32</v>
      </c>
      <c r="BQ5" s="220" t="s">
        <v>41</v>
      </c>
      <c r="BR5" s="221"/>
      <c r="BS5" s="221"/>
      <c r="BT5" s="221"/>
      <c r="BU5" s="221"/>
      <c r="BV5" s="222"/>
      <c r="BW5" s="13">
        <v>33</v>
      </c>
      <c r="BX5" s="1">
        <v>34</v>
      </c>
      <c r="BY5" s="1">
        <v>35</v>
      </c>
      <c r="BZ5" s="15">
        <v>36</v>
      </c>
      <c r="CA5" s="1">
        <v>37</v>
      </c>
      <c r="CB5" s="1">
        <v>38</v>
      </c>
      <c r="CC5" s="6">
        <v>39</v>
      </c>
      <c r="CD5" s="1">
        <v>40</v>
      </c>
      <c r="CE5" s="1">
        <v>41</v>
      </c>
      <c r="CF5" s="15">
        <v>42</v>
      </c>
      <c r="CG5" s="1">
        <v>43</v>
      </c>
      <c r="CH5" s="7">
        <v>44</v>
      </c>
      <c r="CI5" s="29">
        <v>45</v>
      </c>
    </row>
    <row r="6" spans="1:87" s="17" customFormat="1" ht="12" customHeight="1">
      <c r="A6" s="155" t="s">
        <v>2</v>
      </c>
      <c r="B6" s="137">
        <f aca="true" t="shared" si="0" ref="B6:B23">C6</f>
        <v>3763500</v>
      </c>
      <c r="C6" s="73">
        <f aca="true" t="shared" si="1" ref="C6:C23">D6+E6</f>
        <v>3763500</v>
      </c>
      <c r="D6" s="74">
        <v>1370000</v>
      </c>
      <c r="E6" s="149">
        <v>2393500</v>
      </c>
      <c r="F6" s="165">
        <f>240000+440000</f>
        <v>680000</v>
      </c>
      <c r="G6" s="181"/>
      <c r="H6" s="73">
        <f aca="true" t="shared" si="2" ref="H6:H23">I6+J6</f>
        <v>3641214.73</v>
      </c>
      <c r="I6" s="74">
        <v>1247714.73</v>
      </c>
      <c r="J6" s="150">
        <v>2393500</v>
      </c>
      <c r="K6" s="163">
        <v>240000</v>
      </c>
      <c r="L6" s="185"/>
      <c r="M6" s="75">
        <f aca="true" t="shared" si="3" ref="M6:M23">N6+S6</f>
        <v>12748011.28</v>
      </c>
      <c r="N6" s="149">
        <f>2393500</f>
        <v>2393500</v>
      </c>
      <c r="O6" s="146">
        <f>AB6+AT6+BL6+BR6</f>
        <v>0</v>
      </c>
      <c r="P6" s="123">
        <f aca="true" t="shared" si="4" ref="P6:P23">N6-O6</f>
        <v>2393500</v>
      </c>
      <c r="Q6" s="146">
        <f>AC6+AU6+BM6+BS6</f>
        <v>0</v>
      </c>
      <c r="R6" s="123">
        <f aca="true" t="shared" si="5" ref="R6:R23">S6-Q6</f>
        <v>10354511.28</v>
      </c>
      <c r="S6" s="150">
        <f>9674511.28+680000</f>
        <v>10354511.28</v>
      </c>
      <c r="T6" s="49">
        <f aca="true" t="shared" si="6" ref="T6:T22">U6+Z6</f>
        <v>12487646.28</v>
      </c>
      <c r="U6" s="150">
        <f>2393500</f>
        <v>2393500</v>
      </c>
      <c r="V6" s="147">
        <f>AE6+AW6+BO6+BU6</f>
        <v>0</v>
      </c>
      <c r="W6" s="133">
        <f aca="true" t="shared" si="7" ref="W6:W23">U6-V6</f>
        <v>2393500</v>
      </c>
      <c r="X6" s="147">
        <f>AF6+AX6+BP6+BV6</f>
        <v>0</v>
      </c>
      <c r="Y6" s="133">
        <f aca="true" t="shared" si="8" ref="Y6:Y23">Z6-X6</f>
        <v>10094146.28</v>
      </c>
      <c r="Z6" s="150">
        <f>9414146.28+680000</f>
        <v>10094146.28</v>
      </c>
      <c r="AA6" s="76">
        <f aca="true" t="shared" si="9" ref="AA6:AA11">AB6+AC6</f>
        <v>0</v>
      </c>
      <c r="AB6" s="70">
        <f>AH6+AN6</f>
        <v>0</v>
      </c>
      <c r="AC6" s="70">
        <f>AI6+AO6</f>
        <v>0</v>
      </c>
      <c r="AD6" s="60">
        <f aca="true" t="shared" si="10" ref="AD6:AD11">AE6+AF6</f>
        <v>0</v>
      </c>
      <c r="AE6" s="70">
        <f>AK6+AQ6</f>
        <v>0</v>
      </c>
      <c r="AF6" s="71">
        <f>AL6+AR6</f>
        <v>0</v>
      </c>
      <c r="AG6" s="77">
        <f>AH6+AI6</f>
        <v>0</v>
      </c>
      <c r="AH6" s="42"/>
      <c r="AI6" s="42"/>
      <c r="AJ6" s="42">
        <f>AK6+AL6</f>
        <v>0</v>
      </c>
      <c r="AK6" s="42"/>
      <c r="AL6" s="42"/>
      <c r="AM6" s="77">
        <f>AN6+AO6</f>
        <v>0</v>
      </c>
      <c r="AN6" s="42"/>
      <c r="AO6" s="42"/>
      <c r="AP6" s="42">
        <f>AQ6+AR6</f>
        <v>0</v>
      </c>
      <c r="AQ6" s="42"/>
      <c r="AR6" s="42"/>
      <c r="AS6" s="65">
        <f>AT6+AU6</f>
        <v>0</v>
      </c>
      <c r="AT6" s="65">
        <f>AZ6+BF6</f>
        <v>0</v>
      </c>
      <c r="AU6" s="65">
        <f>BA6+BG6</f>
        <v>0</v>
      </c>
      <c r="AV6" s="65">
        <f>AW6+AX6</f>
        <v>0</v>
      </c>
      <c r="AW6" s="65">
        <f>BC6+BI6</f>
        <v>0</v>
      </c>
      <c r="AX6" s="65">
        <f>BD6+BJ6</f>
        <v>0</v>
      </c>
      <c r="AY6" s="51">
        <f>AZ6+BA6</f>
        <v>0</v>
      </c>
      <c r="AZ6" s="42"/>
      <c r="BA6" s="42"/>
      <c r="BB6" s="41">
        <f>BC6+BD6</f>
        <v>0</v>
      </c>
      <c r="BC6" s="42"/>
      <c r="BD6" s="42"/>
      <c r="BE6" s="44">
        <f aca="true" t="shared" si="11" ref="BE6:BE23">BF6+BG6</f>
        <v>0</v>
      </c>
      <c r="BF6" s="42"/>
      <c r="BG6" s="42"/>
      <c r="BH6" s="41">
        <f aca="true" t="shared" si="12" ref="BH6:BH23">BI6+BJ6</f>
        <v>0</v>
      </c>
      <c r="BI6" s="42"/>
      <c r="BJ6" s="43"/>
      <c r="BK6" s="69">
        <f aca="true" t="shared" si="13" ref="BK6:BK23">BL6+BM6</f>
        <v>0</v>
      </c>
      <c r="BL6" s="70"/>
      <c r="BM6" s="70"/>
      <c r="BN6" s="60">
        <f aca="true" t="shared" si="14" ref="BN6:BN23">BO6+BP6</f>
        <v>0</v>
      </c>
      <c r="BO6" s="70"/>
      <c r="BP6" s="71"/>
      <c r="BQ6" s="70">
        <f>BR6+BS6</f>
        <v>0</v>
      </c>
      <c r="BR6" s="70">
        <f>BX6+CD6</f>
        <v>0</v>
      </c>
      <c r="BS6" s="70">
        <f>BY6+CE6</f>
        <v>0</v>
      </c>
      <c r="BT6" s="70">
        <f>BU6+BV6</f>
        <v>0</v>
      </c>
      <c r="BU6" s="70">
        <f>CA6+CG6</f>
        <v>0</v>
      </c>
      <c r="BV6" s="70">
        <f>CB6+CH6</f>
        <v>0</v>
      </c>
      <c r="BW6" s="51">
        <f aca="true" t="shared" si="15" ref="BW6:BW23">BX6+BY6</f>
        <v>0</v>
      </c>
      <c r="BX6" s="42"/>
      <c r="BY6" s="42"/>
      <c r="BZ6" s="41">
        <f aca="true" t="shared" si="16" ref="BZ6:BZ23">CA6+CB6</f>
        <v>0</v>
      </c>
      <c r="CA6" s="42"/>
      <c r="CB6" s="43"/>
      <c r="CC6" s="44">
        <f aca="true" t="shared" si="17" ref="CC6:CC23">CD6+CE6</f>
        <v>0</v>
      </c>
      <c r="CD6" s="42"/>
      <c r="CE6" s="43"/>
      <c r="CF6" s="41">
        <f aca="true" t="shared" si="18" ref="CF6:CF23">CG6+CH6</f>
        <v>0</v>
      </c>
      <c r="CG6" s="42"/>
      <c r="CH6" s="43"/>
      <c r="CI6" s="23" t="s">
        <v>60</v>
      </c>
    </row>
    <row r="7" spans="1:87" s="17" customFormat="1" ht="15" customHeight="1">
      <c r="A7" s="154" t="s">
        <v>3</v>
      </c>
      <c r="B7" s="137">
        <f t="shared" si="0"/>
        <v>5392600</v>
      </c>
      <c r="C7" s="73">
        <f t="shared" si="1"/>
        <v>5392600</v>
      </c>
      <c r="D7" s="78">
        <v>3012000</v>
      </c>
      <c r="E7" s="149">
        <v>2380600</v>
      </c>
      <c r="F7" s="165">
        <v>1789640</v>
      </c>
      <c r="G7" s="181"/>
      <c r="H7" s="73">
        <f t="shared" si="2"/>
        <v>4265369.359999999</v>
      </c>
      <c r="I7" s="78">
        <v>2948769.36</v>
      </c>
      <c r="J7" s="151">
        <v>1316600</v>
      </c>
      <c r="K7" s="164">
        <v>0</v>
      </c>
      <c r="L7" s="186"/>
      <c r="M7" s="75">
        <f t="shared" si="3"/>
        <v>22580240.36</v>
      </c>
      <c r="N7" s="149">
        <f>2380600</f>
        <v>2380600</v>
      </c>
      <c r="O7" s="146">
        <f aca="true" t="shared" si="19" ref="O7:O23">AB7+AT7+BL7+BR7</f>
        <v>0</v>
      </c>
      <c r="P7" s="123">
        <f t="shared" si="4"/>
        <v>2380600</v>
      </c>
      <c r="Q7" s="146">
        <f aca="true" t="shared" si="20" ref="Q7:Q23">AC7+AU7+BM7+BS7</f>
        <v>0</v>
      </c>
      <c r="R7" s="123">
        <f t="shared" si="5"/>
        <v>20199640.36</v>
      </c>
      <c r="S7" s="151">
        <f>18410000.36+1789640</f>
        <v>20199640.36</v>
      </c>
      <c r="T7" s="49">
        <f t="shared" si="6"/>
        <v>20120367.83</v>
      </c>
      <c r="U7" s="151">
        <f>2380600</f>
        <v>2380600</v>
      </c>
      <c r="V7" s="147">
        <f aca="true" t="shared" si="21" ref="V7:V22">AE7+AW7+BO7+BU7</f>
        <v>0</v>
      </c>
      <c r="W7" s="133">
        <f>U7-V7</f>
        <v>2380600</v>
      </c>
      <c r="X7" s="147">
        <f aca="true" t="shared" si="22" ref="X7:X23">AF7+AX7+BP7+BV7</f>
        <v>0</v>
      </c>
      <c r="Y7" s="133">
        <f t="shared" si="8"/>
        <v>17739767.83</v>
      </c>
      <c r="Z7" s="151">
        <f>15950127.83+1789640</f>
        <v>17739767.83</v>
      </c>
      <c r="AA7" s="59">
        <f t="shared" si="9"/>
        <v>0</v>
      </c>
      <c r="AB7" s="70">
        <f aca="true" t="shared" si="23" ref="AB7:AB23">AH7+AN7</f>
        <v>0</v>
      </c>
      <c r="AC7" s="70">
        <f aca="true" t="shared" si="24" ref="AC7:AC23">AI7+AO7</f>
        <v>0</v>
      </c>
      <c r="AD7" s="60">
        <f t="shared" si="10"/>
        <v>0</v>
      </c>
      <c r="AE7" s="70">
        <f aca="true" t="shared" si="25" ref="AE7:AE23">AK7+AQ7</f>
        <v>0</v>
      </c>
      <c r="AF7" s="71">
        <f aca="true" t="shared" si="26" ref="AF7:AF23">AL7+AR7</f>
        <v>0</v>
      </c>
      <c r="AG7" s="77">
        <f aca="true" t="shared" si="27" ref="AG7:AG23">AH7+AI7</f>
        <v>0</v>
      </c>
      <c r="AH7" s="40"/>
      <c r="AI7" s="40"/>
      <c r="AJ7" s="42">
        <f aca="true" t="shared" si="28" ref="AJ7:AJ23">AK7+AL7</f>
        <v>0</v>
      </c>
      <c r="AK7" s="40"/>
      <c r="AL7" s="40"/>
      <c r="AM7" s="77">
        <f aca="true" t="shared" si="29" ref="AM7:AM23">AN7+AO7</f>
        <v>0</v>
      </c>
      <c r="AN7" s="40"/>
      <c r="AO7" s="40"/>
      <c r="AP7" s="42">
        <f aca="true" t="shared" si="30" ref="AP7:AP23">AQ7+AR7</f>
        <v>0</v>
      </c>
      <c r="AQ7" s="40"/>
      <c r="AR7" s="40"/>
      <c r="AS7" s="65">
        <f aca="true" t="shared" si="31" ref="AS7:AS23">AT7+AU7</f>
        <v>0</v>
      </c>
      <c r="AT7" s="65">
        <f aca="true" t="shared" si="32" ref="AT7:AT23">AZ7+BF7</f>
        <v>0</v>
      </c>
      <c r="AU7" s="65">
        <f aca="true" t="shared" si="33" ref="AU7:AU23">BA7+BG7</f>
        <v>0</v>
      </c>
      <c r="AV7" s="65">
        <f aca="true" t="shared" si="34" ref="AV7:AV23">AW7+AX7</f>
        <v>0</v>
      </c>
      <c r="AW7" s="65">
        <f aca="true" t="shared" si="35" ref="AW7:AW23">BC7+BI7</f>
        <v>0</v>
      </c>
      <c r="AX7" s="65">
        <f aca="true" t="shared" si="36" ref="AX7:AX23">BD7+BJ7</f>
        <v>0</v>
      </c>
      <c r="AY7" s="51">
        <v>0</v>
      </c>
      <c r="AZ7" s="40"/>
      <c r="BA7" s="40"/>
      <c r="BB7" s="41">
        <v>0</v>
      </c>
      <c r="BC7" s="40"/>
      <c r="BD7" s="40"/>
      <c r="BE7" s="44">
        <f t="shared" si="11"/>
        <v>0</v>
      </c>
      <c r="BF7" s="42"/>
      <c r="BG7" s="42"/>
      <c r="BH7" s="41">
        <f t="shared" si="12"/>
        <v>0</v>
      </c>
      <c r="BI7" s="42"/>
      <c r="BJ7" s="43"/>
      <c r="BK7" s="69">
        <f t="shared" si="13"/>
        <v>0</v>
      </c>
      <c r="BL7" s="70"/>
      <c r="BM7" s="79"/>
      <c r="BN7" s="60">
        <f t="shared" si="14"/>
        <v>0</v>
      </c>
      <c r="BO7" s="70"/>
      <c r="BP7" s="71"/>
      <c r="BQ7" s="70">
        <f aca="true" t="shared" si="37" ref="BQ7:BQ23">BR7+BS7</f>
        <v>0</v>
      </c>
      <c r="BR7" s="70">
        <f aca="true" t="shared" si="38" ref="BR7:BR23">BX7+CD7</f>
        <v>0</v>
      </c>
      <c r="BS7" s="70">
        <f aca="true" t="shared" si="39" ref="BS7:BS23">BY7+CE7</f>
        <v>0</v>
      </c>
      <c r="BT7" s="70">
        <f aca="true" t="shared" si="40" ref="BT7:BT23">BU7+BV7</f>
        <v>0</v>
      </c>
      <c r="BU7" s="70">
        <f aca="true" t="shared" si="41" ref="BU7:BU23">CA7+CG7</f>
        <v>0</v>
      </c>
      <c r="BV7" s="70">
        <f aca="true" t="shared" si="42" ref="BV7:BV23">CB7+CH7</f>
        <v>0</v>
      </c>
      <c r="BW7" s="51">
        <f t="shared" si="15"/>
        <v>0</v>
      </c>
      <c r="BX7" s="42"/>
      <c r="BY7" s="42"/>
      <c r="BZ7" s="41">
        <f t="shared" si="16"/>
        <v>0</v>
      </c>
      <c r="CA7" s="42"/>
      <c r="CB7" s="43"/>
      <c r="CC7" s="44">
        <f t="shared" si="17"/>
        <v>0</v>
      </c>
      <c r="CD7" s="42"/>
      <c r="CE7" s="42"/>
      <c r="CF7" s="41">
        <f t="shared" si="18"/>
        <v>0</v>
      </c>
      <c r="CG7" s="42"/>
      <c r="CH7" s="45"/>
      <c r="CI7" s="23" t="s">
        <v>51</v>
      </c>
    </row>
    <row r="8" spans="1:87" s="17" customFormat="1" ht="14.25" customHeight="1">
      <c r="A8" s="155" t="s">
        <v>4</v>
      </c>
      <c r="B8" s="137">
        <f t="shared" si="0"/>
        <v>2836260</v>
      </c>
      <c r="C8" s="73">
        <f t="shared" si="1"/>
        <v>2836260</v>
      </c>
      <c r="D8" s="74">
        <v>1078500</v>
      </c>
      <c r="E8" s="149">
        <f>484900+208860+1064000</f>
        <v>1757760</v>
      </c>
      <c r="F8" s="165">
        <f>499800+600000</f>
        <v>1099800</v>
      </c>
      <c r="G8" s="181"/>
      <c r="H8" s="73">
        <f t="shared" si="2"/>
        <v>1779714.84</v>
      </c>
      <c r="I8" s="74">
        <v>1085954.84</v>
      </c>
      <c r="J8" s="150">
        <f>484900+208860</f>
        <v>693760</v>
      </c>
      <c r="K8" s="163">
        <v>600000</v>
      </c>
      <c r="L8" s="185"/>
      <c r="M8" s="75">
        <f t="shared" si="3"/>
        <v>8136300</v>
      </c>
      <c r="N8" s="149">
        <f>1757760+600000</f>
        <v>2357760</v>
      </c>
      <c r="O8" s="146">
        <f t="shared" si="19"/>
        <v>0</v>
      </c>
      <c r="P8" s="123">
        <f t="shared" si="4"/>
        <v>2357760</v>
      </c>
      <c r="Q8" s="146">
        <f t="shared" si="20"/>
        <v>0</v>
      </c>
      <c r="R8" s="123">
        <f t="shared" si="5"/>
        <v>5778540</v>
      </c>
      <c r="S8" s="150">
        <f>5278740+499800</f>
        <v>5778540</v>
      </c>
      <c r="T8" s="49">
        <f t="shared" si="6"/>
        <v>7538577.12</v>
      </c>
      <c r="U8" s="150">
        <f>1757760+600000</f>
        <v>2357760</v>
      </c>
      <c r="V8" s="147">
        <f t="shared" si="21"/>
        <v>0</v>
      </c>
      <c r="W8" s="133">
        <f t="shared" si="7"/>
        <v>2357760</v>
      </c>
      <c r="X8" s="147">
        <f t="shared" si="22"/>
        <v>0</v>
      </c>
      <c r="Y8" s="133">
        <f t="shared" si="8"/>
        <v>5180817.12</v>
      </c>
      <c r="Z8" s="150">
        <f>4681017.12+499800</f>
        <v>5180817.12</v>
      </c>
      <c r="AA8" s="59">
        <f t="shared" si="9"/>
        <v>0</v>
      </c>
      <c r="AB8" s="70">
        <f t="shared" si="23"/>
        <v>0</v>
      </c>
      <c r="AC8" s="70">
        <f t="shared" si="24"/>
        <v>0</v>
      </c>
      <c r="AD8" s="60">
        <f t="shared" si="10"/>
        <v>0</v>
      </c>
      <c r="AE8" s="70">
        <f t="shared" si="25"/>
        <v>0</v>
      </c>
      <c r="AF8" s="71">
        <f t="shared" si="26"/>
        <v>0</v>
      </c>
      <c r="AG8" s="77">
        <f t="shared" si="27"/>
        <v>0</v>
      </c>
      <c r="AH8" s="40"/>
      <c r="AI8" s="40"/>
      <c r="AJ8" s="42">
        <f t="shared" si="28"/>
        <v>0</v>
      </c>
      <c r="AK8" s="40"/>
      <c r="AL8" s="40"/>
      <c r="AM8" s="77">
        <f t="shared" si="29"/>
        <v>0</v>
      </c>
      <c r="AN8" s="40"/>
      <c r="AO8" s="40"/>
      <c r="AP8" s="42">
        <f t="shared" si="30"/>
        <v>0</v>
      </c>
      <c r="AQ8" s="40"/>
      <c r="AR8" s="40"/>
      <c r="AS8" s="65">
        <f t="shared" si="31"/>
        <v>0</v>
      </c>
      <c r="AT8" s="65">
        <f t="shared" si="32"/>
        <v>0</v>
      </c>
      <c r="AU8" s="65">
        <f t="shared" si="33"/>
        <v>0</v>
      </c>
      <c r="AV8" s="65">
        <f t="shared" si="34"/>
        <v>0</v>
      </c>
      <c r="AW8" s="65">
        <f t="shared" si="35"/>
        <v>0</v>
      </c>
      <c r="AX8" s="65">
        <f t="shared" si="36"/>
        <v>0</v>
      </c>
      <c r="AY8" s="51">
        <f>AZ8+BA8</f>
        <v>0</v>
      </c>
      <c r="AZ8" s="40"/>
      <c r="BA8" s="40"/>
      <c r="BB8" s="41">
        <f>BC8+BD8</f>
        <v>0</v>
      </c>
      <c r="BC8" s="40"/>
      <c r="BD8" s="40"/>
      <c r="BE8" s="80">
        <f t="shared" si="11"/>
        <v>0</v>
      </c>
      <c r="BF8" s="81"/>
      <c r="BG8" s="81"/>
      <c r="BH8" s="82">
        <f t="shared" si="12"/>
        <v>0</v>
      </c>
      <c r="BI8" s="40"/>
      <c r="BJ8" s="40"/>
      <c r="BK8" s="83">
        <f t="shared" si="13"/>
        <v>0</v>
      </c>
      <c r="BL8" s="84"/>
      <c r="BM8" s="84"/>
      <c r="BN8" s="85">
        <f t="shared" si="14"/>
        <v>0</v>
      </c>
      <c r="BO8" s="84"/>
      <c r="BP8" s="86"/>
      <c r="BQ8" s="70">
        <f t="shared" si="37"/>
        <v>0</v>
      </c>
      <c r="BR8" s="70">
        <f t="shared" si="38"/>
        <v>0</v>
      </c>
      <c r="BS8" s="70">
        <f t="shared" si="39"/>
        <v>0</v>
      </c>
      <c r="BT8" s="70">
        <f t="shared" si="40"/>
        <v>0</v>
      </c>
      <c r="BU8" s="70">
        <f t="shared" si="41"/>
        <v>0</v>
      </c>
      <c r="BV8" s="70">
        <f t="shared" si="42"/>
        <v>0</v>
      </c>
      <c r="BW8" s="87">
        <f t="shared" si="15"/>
        <v>0</v>
      </c>
      <c r="BX8" s="88"/>
      <c r="BY8" s="88"/>
      <c r="BZ8" s="89">
        <f t="shared" si="16"/>
        <v>0</v>
      </c>
      <c r="CA8" s="88"/>
      <c r="CB8" s="90"/>
      <c r="CC8" s="80">
        <f t="shared" si="17"/>
        <v>0</v>
      </c>
      <c r="CD8" s="81"/>
      <c r="CE8" s="88"/>
      <c r="CF8" s="82">
        <f t="shared" si="18"/>
        <v>0</v>
      </c>
      <c r="CG8" s="81"/>
      <c r="CH8" s="91"/>
      <c r="CI8" s="23" t="s">
        <v>52</v>
      </c>
    </row>
    <row r="9" spans="1:87" s="17" customFormat="1" ht="13.5" customHeight="1">
      <c r="A9" s="155" t="s">
        <v>5</v>
      </c>
      <c r="B9" s="137">
        <f t="shared" si="0"/>
        <v>20869100</v>
      </c>
      <c r="C9" s="73">
        <f t="shared" si="1"/>
        <v>20869100</v>
      </c>
      <c r="D9" s="74">
        <v>11835200</v>
      </c>
      <c r="E9" s="149">
        <v>9033900</v>
      </c>
      <c r="F9" s="165">
        <f>2160000+540000+4263035</f>
        <v>6963035</v>
      </c>
      <c r="G9" s="181"/>
      <c r="H9" s="73">
        <f t="shared" si="2"/>
        <v>18509629.259999998</v>
      </c>
      <c r="I9" s="74">
        <v>11721409.26</v>
      </c>
      <c r="J9" s="150">
        <v>6788220</v>
      </c>
      <c r="K9" s="163">
        <v>540000</v>
      </c>
      <c r="L9" s="185"/>
      <c r="M9" s="75">
        <f t="shared" si="3"/>
        <v>30778223.08</v>
      </c>
      <c r="N9" s="149">
        <f>9033900</f>
        <v>9033900</v>
      </c>
      <c r="O9" s="146">
        <f t="shared" si="19"/>
        <v>0</v>
      </c>
      <c r="P9" s="123">
        <f t="shared" si="4"/>
        <v>9033900</v>
      </c>
      <c r="Q9" s="146">
        <f t="shared" si="20"/>
        <v>0</v>
      </c>
      <c r="R9" s="123">
        <f t="shared" si="5"/>
        <v>21744323.08</v>
      </c>
      <c r="S9" s="150">
        <f>14835200+6909123.08</f>
        <v>21744323.08</v>
      </c>
      <c r="T9" s="49">
        <f t="shared" si="6"/>
        <v>27971330.189999998</v>
      </c>
      <c r="U9" s="149">
        <f>9033900</f>
        <v>9033900</v>
      </c>
      <c r="V9" s="147">
        <f t="shared" si="21"/>
        <v>0</v>
      </c>
      <c r="W9" s="133">
        <f t="shared" si="7"/>
        <v>9033900</v>
      </c>
      <c r="X9" s="147">
        <f t="shared" si="22"/>
        <v>0</v>
      </c>
      <c r="Y9" s="133">
        <f t="shared" si="8"/>
        <v>18937430.189999998</v>
      </c>
      <c r="Z9" s="150">
        <f>12028307.11+6909123.08</f>
        <v>18937430.189999998</v>
      </c>
      <c r="AA9" s="59">
        <f t="shared" si="9"/>
        <v>0</v>
      </c>
      <c r="AB9" s="70">
        <f t="shared" si="23"/>
        <v>0</v>
      </c>
      <c r="AC9" s="70">
        <f t="shared" si="24"/>
        <v>0</v>
      </c>
      <c r="AD9" s="60">
        <f t="shared" si="10"/>
        <v>0</v>
      </c>
      <c r="AE9" s="70">
        <f t="shared" si="25"/>
        <v>0</v>
      </c>
      <c r="AF9" s="71">
        <f t="shared" si="26"/>
        <v>0</v>
      </c>
      <c r="AG9" s="77">
        <f t="shared" si="27"/>
        <v>0</v>
      </c>
      <c r="AH9" s="42"/>
      <c r="AI9" s="42"/>
      <c r="AJ9" s="42">
        <f t="shared" si="28"/>
        <v>0</v>
      </c>
      <c r="AK9" s="42"/>
      <c r="AL9" s="42"/>
      <c r="AM9" s="77">
        <f t="shared" si="29"/>
        <v>0</v>
      </c>
      <c r="AN9" s="42"/>
      <c r="AO9" s="42"/>
      <c r="AP9" s="42">
        <f t="shared" si="30"/>
        <v>0</v>
      </c>
      <c r="AQ9" s="42"/>
      <c r="AR9" s="42"/>
      <c r="AS9" s="65">
        <f t="shared" si="31"/>
        <v>0</v>
      </c>
      <c r="AT9" s="65">
        <f t="shared" si="32"/>
        <v>0</v>
      </c>
      <c r="AU9" s="65">
        <f t="shared" si="33"/>
        <v>0</v>
      </c>
      <c r="AV9" s="65">
        <f t="shared" si="34"/>
        <v>0</v>
      </c>
      <c r="AW9" s="65">
        <f t="shared" si="35"/>
        <v>0</v>
      </c>
      <c r="AX9" s="65">
        <f t="shared" si="36"/>
        <v>0</v>
      </c>
      <c r="AY9" s="51">
        <f>AZ9+BA9</f>
        <v>0</v>
      </c>
      <c r="AZ9" s="42"/>
      <c r="BA9" s="42"/>
      <c r="BB9" s="41">
        <f>BC9+BD9</f>
        <v>0</v>
      </c>
      <c r="BC9" s="42"/>
      <c r="BD9" s="43"/>
      <c r="BE9" s="44">
        <f t="shared" si="11"/>
        <v>0</v>
      </c>
      <c r="BF9" s="42"/>
      <c r="BG9" s="42"/>
      <c r="BH9" s="41">
        <f t="shared" si="12"/>
        <v>0</v>
      </c>
      <c r="BI9" s="42"/>
      <c r="BJ9" s="43"/>
      <c r="BK9" s="69">
        <f t="shared" si="13"/>
        <v>0</v>
      </c>
      <c r="BL9" s="70"/>
      <c r="BM9" s="70"/>
      <c r="BN9" s="60">
        <f t="shared" si="14"/>
        <v>0</v>
      </c>
      <c r="BO9" s="70"/>
      <c r="BP9" s="71"/>
      <c r="BQ9" s="70">
        <f t="shared" si="37"/>
        <v>0</v>
      </c>
      <c r="BR9" s="70">
        <f t="shared" si="38"/>
        <v>0</v>
      </c>
      <c r="BS9" s="70">
        <f t="shared" si="39"/>
        <v>0</v>
      </c>
      <c r="BT9" s="70">
        <f t="shared" si="40"/>
        <v>0</v>
      </c>
      <c r="BU9" s="70">
        <f t="shared" si="41"/>
        <v>0</v>
      </c>
      <c r="BV9" s="70">
        <f t="shared" si="42"/>
        <v>0</v>
      </c>
      <c r="BW9" s="51">
        <f t="shared" si="15"/>
        <v>0</v>
      </c>
      <c r="BX9" s="42"/>
      <c r="BY9" s="42"/>
      <c r="BZ9" s="41">
        <f t="shared" si="16"/>
        <v>0</v>
      </c>
      <c r="CA9" s="42"/>
      <c r="CB9" s="43"/>
      <c r="CC9" s="44">
        <f t="shared" si="17"/>
        <v>0</v>
      </c>
      <c r="CD9" s="42"/>
      <c r="CE9" s="42"/>
      <c r="CF9" s="41">
        <f t="shared" si="18"/>
        <v>0</v>
      </c>
      <c r="CG9" s="42"/>
      <c r="CH9" s="45"/>
      <c r="CI9" s="23" t="s">
        <v>65</v>
      </c>
    </row>
    <row r="10" spans="1:87" s="17" customFormat="1" ht="15" customHeight="1">
      <c r="A10" s="155" t="s">
        <v>29</v>
      </c>
      <c r="B10" s="137">
        <f t="shared" si="0"/>
        <v>11510800</v>
      </c>
      <c r="C10" s="73">
        <f t="shared" si="1"/>
        <v>11510800</v>
      </c>
      <c r="D10" s="74">
        <v>5578000</v>
      </c>
      <c r="E10" s="149">
        <f>2721900+3210900</f>
        <v>5932800</v>
      </c>
      <c r="F10" s="165">
        <f>15256931+8593500+7655469</f>
        <v>31505900</v>
      </c>
      <c r="G10" s="181"/>
      <c r="H10" s="73">
        <f t="shared" si="2"/>
        <v>8791070.84</v>
      </c>
      <c r="I10" s="74">
        <v>6096389.84</v>
      </c>
      <c r="J10" s="149">
        <f>2694681</f>
        <v>2694681</v>
      </c>
      <c r="K10" s="165">
        <f>395785.27+6460044.88+7655469</f>
        <v>14511299.15</v>
      </c>
      <c r="L10" s="181"/>
      <c r="M10" s="75">
        <f t="shared" si="3"/>
        <v>53341925.39</v>
      </c>
      <c r="N10" s="149">
        <f>2721900</f>
        <v>2721900</v>
      </c>
      <c r="O10" s="146">
        <f t="shared" si="19"/>
        <v>0</v>
      </c>
      <c r="P10" s="123">
        <f t="shared" si="4"/>
        <v>2721900</v>
      </c>
      <c r="Q10" s="146">
        <f t="shared" si="20"/>
        <v>0</v>
      </c>
      <c r="R10" s="123">
        <f t="shared" si="5"/>
        <v>50620025.39</v>
      </c>
      <c r="S10" s="151">
        <f>50620025.39</f>
        <v>50620025.39</v>
      </c>
      <c r="T10" s="49">
        <f t="shared" si="6"/>
        <v>46421190.88</v>
      </c>
      <c r="U10" s="149">
        <f>2694681</f>
        <v>2694681</v>
      </c>
      <c r="V10" s="147">
        <f t="shared" si="21"/>
        <v>0</v>
      </c>
      <c r="W10" s="133">
        <f t="shared" si="7"/>
        <v>2694681</v>
      </c>
      <c r="X10" s="147">
        <f t="shared" si="22"/>
        <v>0</v>
      </c>
      <c r="Y10" s="133">
        <f t="shared" si="8"/>
        <v>43726509.88</v>
      </c>
      <c r="Z10" s="151">
        <v>43726509.88</v>
      </c>
      <c r="AA10" s="59">
        <f t="shared" si="9"/>
        <v>0</v>
      </c>
      <c r="AB10" s="70">
        <f t="shared" si="23"/>
        <v>0</v>
      </c>
      <c r="AC10" s="70">
        <f t="shared" si="24"/>
        <v>0</v>
      </c>
      <c r="AD10" s="60">
        <f t="shared" si="10"/>
        <v>0</v>
      </c>
      <c r="AE10" s="70">
        <f t="shared" si="25"/>
        <v>0</v>
      </c>
      <c r="AF10" s="71">
        <f t="shared" si="26"/>
        <v>0</v>
      </c>
      <c r="AG10" s="77">
        <f t="shared" si="27"/>
        <v>0</v>
      </c>
      <c r="AH10" s="40"/>
      <c r="AI10" s="40"/>
      <c r="AJ10" s="42">
        <f t="shared" si="28"/>
        <v>0</v>
      </c>
      <c r="AK10" s="40"/>
      <c r="AL10" s="40"/>
      <c r="AM10" s="77">
        <f t="shared" si="29"/>
        <v>0</v>
      </c>
      <c r="AN10" s="40"/>
      <c r="AO10" s="40"/>
      <c r="AP10" s="42">
        <f t="shared" si="30"/>
        <v>0</v>
      </c>
      <c r="AQ10" s="40"/>
      <c r="AR10" s="40"/>
      <c r="AS10" s="65">
        <f t="shared" si="31"/>
        <v>0</v>
      </c>
      <c r="AT10" s="65">
        <f t="shared" si="32"/>
        <v>0</v>
      </c>
      <c r="AU10" s="65">
        <f t="shared" si="33"/>
        <v>0</v>
      </c>
      <c r="AV10" s="65">
        <f t="shared" si="34"/>
        <v>0</v>
      </c>
      <c r="AW10" s="65">
        <f t="shared" si="35"/>
        <v>0</v>
      </c>
      <c r="AX10" s="65">
        <f t="shared" si="36"/>
        <v>0</v>
      </c>
      <c r="AY10" s="51">
        <f>AZ10+BA10</f>
        <v>0</v>
      </c>
      <c r="AZ10" s="40"/>
      <c r="BA10" s="40"/>
      <c r="BB10" s="41">
        <f>BC10+BD10</f>
        <v>0</v>
      </c>
      <c r="BC10" s="40"/>
      <c r="BD10" s="92"/>
      <c r="BE10" s="44">
        <f t="shared" si="11"/>
        <v>0</v>
      </c>
      <c r="BF10" s="40"/>
      <c r="BG10" s="40"/>
      <c r="BH10" s="41">
        <f t="shared" si="12"/>
        <v>0</v>
      </c>
      <c r="BI10" s="40"/>
      <c r="BJ10" s="92"/>
      <c r="BK10" s="69">
        <f t="shared" si="13"/>
        <v>0</v>
      </c>
      <c r="BL10" s="79"/>
      <c r="BM10" s="79"/>
      <c r="BN10" s="60">
        <f t="shared" si="14"/>
        <v>0</v>
      </c>
      <c r="BO10" s="79"/>
      <c r="BP10" s="93"/>
      <c r="BQ10" s="70">
        <f t="shared" si="37"/>
        <v>0</v>
      </c>
      <c r="BR10" s="70">
        <f t="shared" si="38"/>
        <v>0</v>
      </c>
      <c r="BS10" s="70">
        <f t="shared" si="39"/>
        <v>0</v>
      </c>
      <c r="BT10" s="70">
        <f t="shared" si="40"/>
        <v>0</v>
      </c>
      <c r="BU10" s="70">
        <f t="shared" si="41"/>
        <v>0</v>
      </c>
      <c r="BV10" s="70">
        <f t="shared" si="42"/>
        <v>0</v>
      </c>
      <c r="BW10" s="51">
        <f t="shared" si="15"/>
        <v>0</v>
      </c>
      <c r="BX10" s="40"/>
      <c r="BY10" s="40"/>
      <c r="BZ10" s="41">
        <f t="shared" si="16"/>
        <v>0</v>
      </c>
      <c r="CA10" s="40"/>
      <c r="CB10" s="92"/>
      <c r="CC10" s="44">
        <f t="shared" si="17"/>
        <v>0</v>
      </c>
      <c r="CD10" s="40"/>
      <c r="CE10" s="40"/>
      <c r="CF10" s="41">
        <f t="shared" si="18"/>
        <v>0</v>
      </c>
      <c r="CG10" s="42"/>
      <c r="CH10" s="45"/>
      <c r="CI10" s="23"/>
    </row>
    <row r="11" spans="1:87" s="17" customFormat="1" ht="16.5" customHeight="1">
      <c r="A11" s="155" t="s">
        <v>6</v>
      </c>
      <c r="B11" s="137">
        <f t="shared" si="0"/>
        <v>2413465</v>
      </c>
      <c r="C11" s="73">
        <f t="shared" si="1"/>
        <v>2413465</v>
      </c>
      <c r="D11" s="74">
        <v>1300000</v>
      </c>
      <c r="E11" s="149">
        <f>604600+419000+89865</f>
        <v>1113465</v>
      </c>
      <c r="F11" s="165">
        <f>60936+525000+200000</f>
        <v>785936</v>
      </c>
      <c r="G11" s="181"/>
      <c r="H11" s="73">
        <f t="shared" si="2"/>
        <v>2377952.6399999997</v>
      </c>
      <c r="I11" s="74">
        <v>1354352.64</v>
      </c>
      <c r="J11" s="149">
        <f>604600+419000</f>
        <v>1023600</v>
      </c>
      <c r="K11" s="165">
        <v>60936</v>
      </c>
      <c r="L11" s="181"/>
      <c r="M11" s="75">
        <f t="shared" si="3"/>
        <v>2901000</v>
      </c>
      <c r="N11" s="149">
        <f>1113465</f>
        <v>1113465</v>
      </c>
      <c r="O11" s="146">
        <f t="shared" si="19"/>
        <v>0</v>
      </c>
      <c r="P11" s="123">
        <f t="shared" si="4"/>
        <v>1113465</v>
      </c>
      <c r="Q11" s="146">
        <f t="shared" si="20"/>
        <v>0</v>
      </c>
      <c r="R11" s="123">
        <f t="shared" si="5"/>
        <v>1787535</v>
      </c>
      <c r="S11" s="150">
        <f>1001599+785936</f>
        <v>1787535</v>
      </c>
      <c r="T11" s="49">
        <f t="shared" si="6"/>
        <v>2862199.7800000003</v>
      </c>
      <c r="U11" s="150">
        <f>1112567</f>
        <v>1112567</v>
      </c>
      <c r="V11" s="147">
        <f t="shared" si="21"/>
        <v>0</v>
      </c>
      <c r="W11" s="133">
        <f t="shared" si="7"/>
        <v>1112567</v>
      </c>
      <c r="X11" s="147">
        <f t="shared" si="22"/>
        <v>0</v>
      </c>
      <c r="Y11" s="133">
        <f t="shared" si="8"/>
        <v>1749632.78</v>
      </c>
      <c r="Z11" s="150">
        <f>963696.78+785936</f>
        <v>1749632.78</v>
      </c>
      <c r="AA11" s="59">
        <f t="shared" si="9"/>
        <v>0</v>
      </c>
      <c r="AB11" s="70">
        <f t="shared" si="23"/>
        <v>0</v>
      </c>
      <c r="AC11" s="70">
        <f t="shared" si="24"/>
        <v>0</v>
      </c>
      <c r="AD11" s="60">
        <f t="shared" si="10"/>
        <v>0</v>
      </c>
      <c r="AE11" s="70">
        <f t="shared" si="25"/>
        <v>0</v>
      </c>
      <c r="AF11" s="71">
        <f t="shared" si="26"/>
        <v>0</v>
      </c>
      <c r="AG11" s="77">
        <f t="shared" si="27"/>
        <v>0</v>
      </c>
      <c r="AH11" s="42"/>
      <c r="AI11" s="42"/>
      <c r="AJ11" s="42">
        <f t="shared" si="28"/>
        <v>0</v>
      </c>
      <c r="AK11" s="42"/>
      <c r="AL11" s="42"/>
      <c r="AM11" s="77">
        <f t="shared" si="29"/>
        <v>0</v>
      </c>
      <c r="AN11" s="42"/>
      <c r="AO11" s="42"/>
      <c r="AP11" s="42">
        <f t="shared" si="30"/>
        <v>0</v>
      </c>
      <c r="AQ11" s="42"/>
      <c r="AR11" s="42"/>
      <c r="AS11" s="65">
        <f t="shared" si="31"/>
        <v>0</v>
      </c>
      <c r="AT11" s="65">
        <f t="shared" si="32"/>
        <v>0</v>
      </c>
      <c r="AU11" s="65">
        <f t="shared" si="33"/>
        <v>0</v>
      </c>
      <c r="AV11" s="65">
        <f t="shared" si="34"/>
        <v>0</v>
      </c>
      <c r="AW11" s="65">
        <f t="shared" si="35"/>
        <v>0</v>
      </c>
      <c r="AX11" s="65">
        <f t="shared" si="36"/>
        <v>0</v>
      </c>
      <c r="AY11" s="51">
        <f>AZ11+BA11</f>
        <v>0</v>
      </c>
      <c r="AZ11" s="42"/>
      <c r="BA11" s="42"/>
      <c r="BB11" s="41">
        <f>BC11+BD11</f>
        <v>0</v>
      </c>
      <c r="BC11" s="42"/>
      <c r="BD11" s="43"/>
      <c r="BE11" s="44">
        <f t="shared" si="11"/>
        <v>0</v>
      </c>
      <c r="BF11" s="42"/>
      <c r="BG11" s="42"/>
      <c r="BH11" s="41">
        <f t="shared" si="12"/>
        <v>0</v>
      </c>
      <c r="BI11" s="42"/>
      <c r="BJ11" s="43"/>
      <c r="BK11" s="69">
        <f t="shared" si="13"/>
        <v>0</v>
      </c>
      <c r="BL11" s="70"/>
      <c r="BM11" s="70"/>
      <c r="BN11" s="60">
        <f t="shared" si="14"/>
        <v>0</v>
      </c>
      <c r="BO11" s="70"/>
      <c r="BP11" s="71"/>
      <c r="BQ11" s="70">
        <f t="shared" si="37"/>
        <v>0</v>
      </c>
      <c r="BR11" s="70">
        <f t="shared" si="38"/>
        <v>0</v>
      </c>
      <c r="BS11" s="70">
        <f t="shared" si="39"/>
        <v>0</v>
      </c>
      <c r="BT11" s="70">
        <f t="shared" si="40"/>
        <v>0</v>
      </c>
      <c r="BU11" s="70">
        <f t="shared" si="41"/>
        <v>0</v>
      </c>
      <c r="BV11" s="70">
        <f t="shared" si="42"/>
        <v>0</v>
      </c>
      <c r="BW11" s="51">
        <f t="shared" si="15"/>
        <v>0</v>
      </c>
      <c r="BX11" s="42"/>
      <c r="BY11" s="42"/>
      <c r="BZ11" s="41">
        <f t="shared" si="16"/>
        <v>0</v>
      </c>
      <c r="CA11" s="42"/>
      <c r="CB11" s="43"/>
      <c r="CC11" s="44">
        <f t="shared" si="17"/>
        <v>0</v>
      </c>
      <c r="CD11" s="42"/>
      <c r="CE11" s="42"/>
      <c r="CF11" s="41">
        <f t="shared" si="18"/>
        <v>0</v>
      </c>
      <c r="CG11" s="42"/>
      <c r="CH11" s="45"/>
      <c r="CI11" s="24" t="s">
        <v>58</v>
      </c>
    </row>
    <row r="12" spans="1:87" s="17" customFormat="1" ht="21" customHeight="1">
      <c r="A12" s="155" t="s">
        <v>7</v>
      </c>
      <c r="B12" s="137">
        <f t="shared" si="0"/>
        <v>8651254</v>
      </c>
      <c r="C12" s="73">
        <f t="shared" si="1"/>
        <v>8651254</v>
      </c>
      <c r="D12" s="74">
        <v>2833000</v>
      </c>
      <c r="E12" s="149">
        <v>5818254</v>
      </c>
      <c r="F12" s="165">
        <f>2560000+3668104.6+447408.2</f>
        <v>6675512.8</v>
      </c>
      <c r="G12" s="181"/>
      <c r="H12" s="73">
        <f t="shared" si="2"/>
        <v>8729931.81</v>
      </c>
      <c r="I12" s="74">
        <v>2911677.81</v>
      </c>
      <c r="J12" s="149">
        <v>5818254</v>
      </c>
      <c r="K12" s="165">
        <v>447408.2</v>
      </c>
      <c r="L12" s="181"/>
      <c r="M12" s="75">
        <f t="shared" si="3"/>
        <v>16875285.55</v>
      </c>
      <c r="N12" s="149">
        <f>5818254</f>
        <v>5818254</v>
      </c>
      <c r="O12" s="146">
        <f t="shared" si="19"/>
        <v>0</v>
      </c>
      <c r="P12" s="123">
        <f t="shared" si="4"/>
        <v>5818254</v>
      </c>
      <c r="Q12" s="146">
        <f t="shared" si="20"/>
        <v>0</v>
      </c>
      <c r="R12" s="123">
        <f t="shared" si="5"/>
        <v>11057031.55</v>
      </c>
      <c r="S12" s="150">
        <f>4385994.81+6671036.74</f>
        <v>11057031.55</v>
      </c>
      <c r="T12" s="49">
        <f t="shared" si="6"/>
        <v>16119480</v>
      </c>
      <c r="U12" s="150">
        <f>5818254</f>
        <v>5818254</v>
      </c>
      <c r="V12" s="147">
        <f t="shared" si="21"/>
        <v>0</v>
      </c>
      <c r="W12" s="133">
        <f t="shared" si="7"/>
        <v>5818254</v>
      </c>
      <c r="X12" s="147">
        <f t="shared" si="22"/>
        <v>0</v>
      </c>
      <c r="Y12" s="133">
        <f t="shared" si="8"/>
        <v>10301226</v>
      </c>
      <c r="Z12" s="150">
        <f>3630189.26+6671036.74</f>
        <v>10301226</v>
      </c>
      <c r="AA12" s="59">
        <v>0</v>
      </c>
      <c r="AB12" s="70">
        <f t="shared" si="23"/>
        <v>0</v>
      </c>
      <c r="AC12" s="70">
        <f t="shared" si="24"/>
        <v>0</v>
      </c>
      <c r="AD12" s="60">
        <v>0</v>
      </c>
      <c r="AE12" s="70">
        <f t="shared" si="25"/>
        <v>0</v>
      </c>
      <c r="AF12" s="71">
        <f t="shared" si="26"/>
        <v>0</v>
      </c>
      <c r="AG12" s="77">
        <f t="shared" si="27"/>
        <v>0</v>
      </c>
      <c r="AH12" s="42"/>
      <c r="AI12" s="42"/>
      <c r="AJ12" s="42">
        <f t="shared" si="28"/>
        <v>0</v>
      </c>
      <c r="AK12" s="42"/>
      <c r="AL12" s="42"/>
      <c r="AM12" s="77">
        <f t="shared" si="29"/>
        <v>0</v>
      </c>
      <c r="AN12" s="42"/>
      <c r="AO12" s="42"/>
      <c r="AP12" s="42">
        <f t="shared" si="30"/>
        <v>0</v>
      </c>
      <c r="AQ12" s="42"/>
      <c r="AR12" s="42"/>
      <c r="AS12" s="65">
        <f t="shared" si="31"/>
        <v>0</v>
      </c>
      <c r="AT12" s="65">
        <f t="shared" si="32"/>
        <v>0</v>
      </c>
      <c r="AU12" s="65">
        <f t="shared" si="33"/>
        <v>0</v>
      </c>
      <c r="AV12" s="65">
        <f t="shared" si="34"/>
        <v>0</v>
      </c>
      <c r="AW12" s="65">
        <f t="shared" si="35"/>
        <v>0</v>
      </c>
      <c r="AX12" s="65">
        <f t="shared" si="36"/>
        <v>0</v>
      </c>
      <c r="AY12" s="51">
        <v>0</v>
      </c>
      <c r="AZ12" s="42"/>
      <c r="BA12" s="42"/>
      <c r="BB12" s="41">
        <v>0</v>
      </c>
      <c r="BC12" s="42"/>
      <c r="BD12" s="43"/>
      <c r="BE12" s="44">
        <f t="shared" si="11"/>
        <v>0</v>
      </c>
      <c r="BF12" s="42"/>
      <c r="BG12" s="42"/>
      <c r="BH12" s="41">
        <f t="shared" si="12"/>
        <v>0</v>
      </c>
      <c r="BI12" s="42"/>
      <c r="BJ12" s="43"/>
      <c r="BK12" s="69">
        <f t="shared" si="13"/>
        <v>0</v>
      </c>
      <c r="BL12" s="70"/>
      <c r="BM12" s="70"/>
      <c r="BN12" s="60">
        <f t="shared" si="14"/>
        <v>0</v>
      </c>
      <c r="BO12" s="70"/>
      <c r="BP12" s="71"/>
      <c r="BQ12" s="70">
        <f t="shared" si="37"/>
        <v>0</v>
      </c>
      <c r="BR12" s="70">
        <f t="shared" si="38"/>
        <v>0</v>
      </c>
      <c r="BS12" s="70">
        <f t="shared" si="39"/>
        <v>0</v>
      </c>
      <c r="BT12" s="70">
        <f t="shared" si="40"/>
        <v>0</v>
      </c>
      <c r="BU12" s="70">
        <f t="shared" si="41"/>
        <v>0</v>
      </c>
      <c r="BV12" s="70">
        <f t="shared" si="42"/>
        <v>0</v>
      </c>
      <c r="BW12" s="51">
        <f t="shared" si="15"/>
        <v>0</v>
      </c>
      <c r="BX12" s="42"/>
      <c r="BY12" s="42"/>
      <c r="BZ12" s="41">
        <f t="shared" si="16"/>
        <v>0</v>
      </c>
      <c r="CA12" s="42"/>
      <c r="CB12" s="43"/>
      <c r="CC12" s="44">
        <f t="shared" si="17"/>
        <v>0</v>
      </c>
      <c r="CD12" s="42"/>
      <c r="CE12" s="42"/>
      <c r="CF12" s="41">
        <f t="shared" si="18"/>
        <v>0</v>
      </c>
      <c r="CG12" s="42"/>
      <c r="CH12" s="45"/>
      <c r="CI12" s="23" t="s">
        <v>66</v>
      </c>
    </row>
    <row r="13" spans="1:87" s="17" customFormat="1" ht="15" customHeight="1">
      <c r="A13" s="155" t="s">
        <v>8</v>
      </c>
      <c r="B13" s="137">
        <f t="shared" si="0"/>
        <v>6839249</v>
      </c>
      <c r="C13" s="73">
        <f t="shared" si="1"/>
        <v>6839249</v>
      </c>
      <c r="D13" s="74">
        <v>3388100</v>
      </c>
      <c r="E13" s="149">
        <f>1613700+781000+1056449</f>
        <v>3451149</v>
      </c>
      <c r="F13" s="165">
        <f>661800+400000</f>
        <v>1061800</v>
      </c>
      <c r="G13" s="181"/>
      <c r="H13" s="73">
        <f t="shared" si="2"/>
        <v>6808334.57</v>
      </c>
      <c r="I13" s="74">
        <v>3614354.57</v>
      </c>
      <c r="J13" s="150">
        <f>1356531+781000+1056449</f>
        <v>3193980</v>
      </c>
      <c r="K13" s="163">
        <v>400000</v>
      </c>
      <c r="L13" s="185"/>
      <c r="M13" s="75">
        <f t="shared" si="3"/>
        <v>7420543.6899999995</v>
      </c>
      <c r="N13" s="149">
        <f>3451149+400000</f>
        <v>3851149</v>
      </c>
      <c r="O13" s="146">
        <f t="shared" si="19"/>
        <v>0</v>
      </c>
      <c r="P13" s="123">
        <f t="shared" si="4"/>
        <v>3851149</v>
      </c>
      <c r="Q13" s="146">
        <f t="shared" si="20"/>
        <v>0</v>
      </c>
      <c r="R13" s="123">
        <f t="shared" si="5"/>
        <v>3569394.69</v>
      </c>
      <c r="S13" s="150">
        <f>2907594.69+661800</f>
        <v>3569394.69</v>
      </c>
      <c r="T13" s="49">
        <f t="shared" si="6"/>
        <v>7402543.6899999995</v>
      </c>
      <c r="U13" s="150">
        <f>3451149+400000</f>
        <v>3851149</v>
      </c>
      <c r="V13" s="147">
        <f t="shared" si="21"/>
        <v>0</v>
      </c>
      <c r="W13" s="133">
        <f t="shared" si="7"/>
        <v>3851149</v>
      </c>
      <c r="X13" s="147">
        <f t="shared" si="22"/>
        <v>0</v>
      </c>
      <c r="Y13" s="133">
        <f t="shared" si="8"/>
        <v>3551394.69</v>
      </c>
      <c r="Z13" s="150">
        <f>2889594.69+661800</f>
        <v>3551394.69</v>
      </c>
      <c r="AA13" s="59">
        <f aca="true" t="shared" si="43" ref="AA13:AA23">AB13+AC13</f>
        <v>0</v>
      </c>
      <c r="AB13" s="70">
        <f t="shared" si="23"/>
        <v>0</v>
      </c>
      <c r="AC13" s="70">
        <f t="shared" si="24"/>
        <v>0</v>
      </c>
      <c r="AD13" s="60">
        <f aca="true" t="shared" si="44" ref="AD13:AD23">AE13+AF13</f>
        <v>0</v>
      </c>
      <c r="AE13" s="70">
        <f t="shared" si="25"/>
        <v>0</v>
      </c>
      <c r="AF13" s="71">
        <f t="shared" si="26"/>
        <v>0</v>
      </c>
      <c r="AG13" s="77">
        <f t="shared" si="27"/>
        <v>0</v>
      </c>
      <c r="AH13" s="42"/>
      <c r="AI13" s="42"/>
      <c r="AJ13" s="42">
        <f t="shared" si="28"/>
        <v>0</v>
      </c>
      <c r="AK13" s="42"/>
      <c r="AL13" s="42"/>
      <c r="AM13" s="77">
        <f t="shared" si="29"/>
        <v>0</v>
      </c>
      <c r="AN13" s="42"/>
      <c r="AO13" s="42"/>
      <c r="AP13" s="42">
        <f t="shared" si="30"/>
        <v>0</v>
      </c>
      <c r="AQ13" s="42"/>
      <c r="AR13" s="42"/>
      <c r="AS13" s="65">
        <f t="shared" si="31"/>
        <v>0</v>
      </c>
      <c r="AT13" s="65">
        <f t="shared" si="32"/>
        <v>0</v>
      </c>
      <c r="AU13" s="65">
        <f t="shared" si="33"/>
        <v>0</v>
      </c>
      <c r="AV13" s="65">
        <f t="shared" si="34"/>
        <v>0</v>
      </c>
      <c r="AW13" s="65">
        <f t="shared" si="35"/>
        <v>0</v>
      </c>
      <c r="AX13" s="65">
        <f t="shared" si="36"/>
        <v>0</v>
      </c>
      <c r="AY13" s="51">
        <f aca="true" t="shared" si="45" ref="AY13:AY23">AZ13+BA13</f>
        <v>0</v>
      </c>
      <c r="AZ13" s="42"/>
      <c r="BA13" s="42"/>
      <c r="BB13" s="41">
        <f aca="true" t="shared" si="46" ref="BB13:BB23">BC13+BD13</f>
        <v>0</v>
      </c>
      <c r="BC13" s="42"/>
      <c r="BD13" s="43"/>
      <c r="BE13" s="44">
        <f t="shared" si="11"/>
        <v>0</v>
      </c>
      <c r="BF13" s="42"/>
      <c r="BG13" s="42"/>
      <c r="BH13" s="41">
        <f t="shared" si="12"/>
        <v>0</v>
      </c>
      <c r="BI13" s="42"/>
      <c r="BJ13" s="43"/>
      <c r="BK13" s="69">
        <f t="shared" si="13"/>
        <v>0</v>
      </c>
      <c r="BL13" s="70"/>
      <c r="BM13" s="70"/>
      <c r="BN13" s="60">
        <f t="shared" si="14"/>
        <v>0</v>
      </c>
      <c r="BO13" s="70"/>
      <c r="BP13" s="71"/>
      <c r="BQ13" s="70">
        <f t="shared" si="37"/>
        <v>0</v>
      </c>
      <c r="BR13" s="70">
        <f t="shared" si="38"/>
        <v>0</v>
      </c>
      <c r="BS13" s="70">
        <f t="shared" si="39"/>
        <v>0</v>
      </c>
      <c r="BT13" s="70">
        <f t="shared" si="40"/>
        <v>0</v>
      </c>
      <c r="BU13" s="70">
        <f t="shared" si="41"/>
        <v>0</v>
      </c>
      <c r="BV13" s="70">
        <f t="shared" si="42"/>
        <v>0</v>
      </c>
      <c r="BW13" s="51">
        <f t="shared" si="15"/>
        <v>0</v>
      </c>
      <c r="BX13" s="42"/>
      <c r="BY13" s="42"/>
      <c r="BZ13" s="41">
        <f t="shared" si="16"/>
        <v>0</v>
      </c>
      <c r="CA13" s="42"/>
      <c r="CB13" s="43"/>
      <c r="CC13" s="44">
        <f t="shared" si="17"/>
        <v>0</v>
      </c>
      <c r="CD13" s="42"/>
      <c r="CE13" s="42"/>
      <c r="CF13" s="41">
        <f t="shared" si="18"/>
        <v>0</v>
      </c>
      <c r="CG13" s="42"/>
      <c r="CH13" s="45"/>
      <c r="CI13" s="23" t="s">
        <v>53</v>
      </c>
    </row>
    <row r="14" spans="1:87" s="17" customFormat="1" ht="15" customHeight="1">
      <c r="A14" s="154" t="s">
        <v>17</v>
      </c>
      <c r="B14" s="137">
        <f t="shared" si="0"/>
        <v>83658913.59</v>
      </c>
      <c r="C14" s="73">
        <f t="shared" si="1"/>
        <v>83658913.59</v>
      </c>
      <c r="D14" s="74">
        <v>6814000</v>
      </c>
      <c r="E14" s="149">
        <f>80055813.59-3210900</f>
        <v>76844913.59</v>
      </c>
      <c r="F14" s="165">
        <f>1850000+300000+7470000</f>
        <v>9620000</v>
      </c>
      <c r="G14" s="181"/>
      <c r="H14" s="73">
        <f t="shared" si="2"/>
        <v>7191617.53</v>
      </c>
      <c r="I14" s="74">
        <v>7191617.53</v>
      </c>
      <c r="J14" s="151">
        <v>0</v>
      </c>
      <c r="K14" s="164">
        <f>7470000+300000</f>
        <v>7770000</v>
      </c>
      <c r="L14" s="186"/>
      <c r="M14" s="75">
        <f t="shared" si="3"/>
        <v>227470706.88</v>
      </c>
      <c r="N14" s="149">
        <f>55732143.59+300000</f>
        <v>56032143.59</v>
      </c>
      <c r="O14" s="146">
        <f t="shared" si="19"/>
        <v>0</v>
      </c>
      <c r="P14" s="123">
        <f t="shared" si="4"/>
        <v>56032143.59</v>
      </c>
      <c r="Q14" s="146">
        <f t="shared" si="20"/>
        <v>0</v>
      </c>
      <c r="R14" s="123">
        <f t="shared" si="5"/>
        <v>171438563.29</v>
      </c>
      <c r="S14" s="151">
        <f>169788563.29+1650000</f>
        <v>171438563.29</v>
      </c>
      <c r="T14" s="49">
        <f t="shared" si="6"/>
        <v>211026277.65</v>
      </c>
      <c r="U14" s="151">
        <f>51471428.42+279598.36</f>
        <v>51751026.78</v>
      </c>
      <c r="V14" s="147">
        <f t="shared" si="21"/>
        <v>0</v>
      </c>
      <c r="W14" s="133">
        <f t="shared" si="7"/>
        <v>51751026.78</v>
      </c>
      <c r="X14" s="147">
        <f t="shared" si="22"/>
        <v>0</v>
      </c>
      <c r="Y14" s="133">
        <f t="shared" si="8"/>
        <v>159275250.87</v>
      </c>
      <c r="Z14" s="151">
        <f>159275250.87</f>
        <v>159275250.87</v>
      </c>
      <c r="AA14" s="59">
        <f t="shared" si="43"/>
        <v>0</v>
      </c>
      <c r="AB14" s="70">
        <f t="shared" si="23"/>
        <v>0</v>
      </c>
      <c r="AC14" s="70">
        <f t="shared" si="24"/>
        <v>0</v>
      </c>
      <c r="AD14" s="60">
        <f t="shared" si="44"/>
        <v>0</v>
      </c>
      <c r="AE14" s="70">
        <f t="shared" si="25"/>
        <v>0</v>
      </c>
      <c r="AF14" s="71">
        <f t="shared" si="26"/>
        <v>0</v>
      </c>
      <c r="AG14" s="77">
        <f t="shared" si="27"/>
        <v>0</v>
      </c>
      <c r="AH14" s="42"/>
      <c r="AI14" s="42"/>
      <c r="AJ14" s="42">
        <f t="shared" si="28"/>
        <v>0</v>
      </c>
      <c r="AK14" s="42"/>
      <c r="AL14" s="42"/>
      <c r="AM14" s="77">
        <f t="shared" si="29"/>
        <v>0</v>
      </c>
      <c r="AN14" s="42"/>
      <c r="AO14" s="42"/>
      <c r="AP14" s="42">
        <f t="shared" si="30"/>
        <v>0</v>
      </c>
      <c r="AQ14" s="42"/>
      <c r="AR14" s="42"/>
      <c r="AS14" s="65">
        <f t="shared" si="31"/>
        <v>0</v>
      </c>
      <c r="AT14" s="65">
        <f t="shared" si="32"/>
        <v>0</v>
      </c>
      <c r="AU14" s="65">
        <f t="shared" si="33"/>
        <v>0</v>
      </c>
      <c r="AV14" s="65">
        <f t="shared" si="34"/>
        <v>0</v>
      </c>
      <c r="AW14" s="65">
        <f t="shared" si="35"/>
        <v>0</v>
      </c>
      <c r="AX14" s="65">
        <f t="shared" si="36"/>
        <v>0</v>
      </c>
      <c r="AY14" s="51">
        <f t="shared" si="45"/>
        <v>0</v>
      </c>
      <c r="AZ14" s="42"/>
      <c r="BA14" s="42"/>
      <c r="BB14" s="41">
        <f t="shared" si="46"/>
        <v>0</v>
      </c>
      <c r="BC14" s="42"/>
      <c r="BD14" s="43"/>
      <c r="BE14" s="44">
        <f t="shared" si="11"/>
        <v>0</v>
      </c>
      <c r="BF14" s="42"/>
      <c r="BG14" s="42"/>
      <c r="BH14" s="41">
        <f t="shared" si="12"/>
        <v>0</v>
      </c>
      <c r="BI14" s="42"/>
      <c r="BJ14" s="43"/>
      <c r="BK14" s="69">
        <f t="shared" si="13"/>
        <v>0</v>
      </c>
      <c r="BL14" s="70"/>
      <c r="BM14" s="70"/>
      <c r="BN14" s="60">
        <f t="shared" si="14"/>
        <v>0</v>
      </c>
      <c r="BO14" s="70"/>
      <c r="BP14" s="71"/>
      <c r="BQ14" s="70">
        <f t="shared" si="37"/>
        <v>0</v>
      </c>
      <c r="BR14" s="70">
        <f t="shared" si="38"/>
        <v>0</v>
      </c>
      <c r="BS14" s="70">
        <f t="shared" si="39"/>
        <v>0</v>
      </c>
      <c r="BT14" s="70">
        <f t="shared" si="40"/>
        <v>0</v>
      </c>
      <c r="BU14" s="70">
        <f t="shared" si="41"/>
        <v>0</v>
      </c>
      <c r="BV14" s="70">
        <f t="shared" si="42"/>
        <v>0</v>
      </c>
      <c r="BW14" s="51">
        <f t="shared" si="15"/>
        <v>0</v>
      </c>
      <c r="BX14" s="42"/>
      <c r="BY14" s="42"/>
      <c r="BZ14" s="41">
        <f t="shared" si="16"/>
        <v>0</v>
      </c>
      <c r="CA14" s="42"/>
      <c r="CB14" s="43"/>
      <c r="CC14" s="44">
        <f t="shared" si="17"/>
        <v>0</v>
      </c>
      <c r="CD14" s="42"/>
      <c r="CE14" s="42"/>
      <c r="CF14" s="41">
        <f t="shared" si="18"/>
        <v>0</v>
      </c>
      <c r="CG14" s="42"/>
      <c r="CH14" s="45"/>
      <c r="CI14" s="23"/>
    </row>
    <row r="15" spans="1:87" s="17" customFormat="1" ht="17.25" customHeight="1">
      <c r="A15" s="154" t="s">
        <v>18</v>
      </c>
      <c r="B15" s="137">
        <f t="shared" si="0"/>
        <v>5020622.77</v>
      </c>
      <c r="C15" s="73">
        <f t="shared" si="1"/>
        <v>5020622.77</v>
      </c>
      <c r="D15" s="78">
        <v>2445000</v>
      </c>
      <c r="E15" s="149">
        <f>2575622.77</f>
        <v>2575622.77</v>
      </c>
      <c r="F15" s="165">
        <f>4600000+660000</f>
        <v>5260000</v>
      </c>
      <c r="G15" s="181"/>
      <c r="H15" s="73">
        <f t="shared" si="2"/>
        <v>4974202.470000001</v>
      </c>
      <c r="I15" s="78">
        <v>2398579.7</v>
      </c>
      <c r="J15" s="151">
        <v>2575622.77</v>
      </c>
      <c r="K15" s="164">
        <f>660000+4600000</f>
        <v>5260000</v>
      </c>
      <c r="L15" s="186"/>
      <c r="M15" s="75">
        <f t="shared" si="3"/>
        <v>34780886.89</v>
      </c>
      <c r="N15" s="149">
        <f>5238529.6+660000</f>
        <v>5898529.6</v>
      </c>
      <c r="O15" s="146">
        <f t="shared" si="19"/>
        <v>0</v>
      </c>
      <c r="P15" s="123">
        <f t="shared" si="4"/>
        <v>5898529.6</v>
      </c>
      <c r="Q15" s="146">
        <f t="shared" si="20"/>
        <v>0</v>
      </c>
      <c r="R15" s="123">
        <f t="shared" si="5"/>
        <v>28882357.29</v>
      </c>
      <c r="S15" s="151">
        <f>24282357.29+4600000</f>
        <v>28882357.29</v>
      </c>
      <c r="T15" s="49">
        <f t="shared" si="6"/>
        <v>33678432.48</v>
      </c>
      <c r="U15" s="151">
        <f>5238529.6+660000</f>
        <v>5898529.6</v>
      </c>
      <c r="V15" s="147">
        <f t="shared" si="21"/>
        <v>0</v>
      </c>
      <c r="W15" s="133">
        <f t="shared" si="7"/>
        <v>5898529.6</v>
      </c>
      <c r="X15" s="147">
        <f t="shared" si="22"/>
        <v>0</v>
      </c>
      <c r="Y15" s="133">
        <f t="shared" si="8"/>
        <v>27779902.88</v>
      </c>
      <c r="Z15" s="151">
        <f>23179902.88+4600000</f>
        <v>27779902.88</v>
      </c>
      <c r="AA15" s="59">
        <f t="shared" si="43"/>
        <v>0</v>
      </c>
      <c r="AB15" s="70">
        <f t="shared" si="23"/>
        <v>0</v>
      </c>
      <c r="AC15" s="70">
        <f t="shared" si="24"/>
        <v>0</v>
      </c>
      <c r="AD15" s="60">
        <f t="shared" si="44"/>
        <v>0</v>
      </c>
      <c r="AE15" s="70">
        <f t="shared" si="25"/>
        <v>0</v>
      </c>
      <c r="AF15" s="71">
        <f t="shared" si="26"/>
        <v>0</v>
      </c>
      <c r="AG15" s="77">
        <f t="shared" si="27"/>
        <v>0</v>
      </c>
      <c r="AH15" s="42"/>
      <c r="AI15" s="42"/>
      <c r="AJ15" s="42">
        <f t="shared" si="28"/>
        <v>0</v>
      </c>
      <c r="AK15" s="42"/>
      <c r="AL15" s="42"/>
      <c r="AM15" s="77">
        <f t="shared" si="29"/>
        <v>0</v>
      </c>
      <c r="AN15" s="42"/>
      <c r="AO15" s="42"/>
      <c r="AP15" s="42">
        <f t="shared" si="30"/>
        <v>0</v>
      </c>
      <c r="AQ15" s="42"/>
      <c r="AR15" s="42"/>
      <c r="AS15" s="65">
        <f t="shared" si="31"/>
        <v>0</v>
      </c>
      <c r="AT15" s="65">
        <f t="shared" si="32"/>
        <v>0</v>
      </c>
      <c r="AU15" s="65">
        <f t="shared" si="33"/>
        <v>0</v>
      </c>
      <c r="AV15" s="65">
        <f t="shared" si="34"/>
        <v>0</v>
      </c>
      <c r="AW15" s="65">
        <f t="shared" si="35"/>
        <v>0</v>
      </c>
      <c r="AX15" s="65">
        <f t="shared" si="36"/>
        <v>0</v>
      </c>
      <c r="AY15" s="51">
        <f t="shared" si="45"/>
        <v>0</v>
      </c>
      <c r="AZ15" s="42"/>
      <c r="BA15" s="42"/>
      <c r="BB15" s="41">
        <f t="shared" si="46"/>
        <v>0</v>
      </c>
      <c r="BC15" s="42"/>
      <c r="BD15" s="43"/>
      <c r="BE15" s="44">
        <f t="shared" si="11"/>
        <v>0</v>
      </c>
      <c r="BF15" s="42"/>
      <c r="BG15" s="42"/>
      <c r="BH15" s="41">
        <f t="shared" si="12"/>
        <v>0</v>
      </c>
      <c r="BI15" s="42"/>
      <c r="BJ15" s="43"/>
      <c r="BK15" s="69">
        <f t="shared" si="13"/>
        <v>0</v>
      </c>
      <c r="BL15" s="70"/>
      <c r="BM15" s="70"/>
      <c r="BN15" s="60">
        <f t="shared" si="14"/>
        <v>0</v>
      </c>
      <c r="BO15" s="70"/>
      <c r="BP15" s="71"/>
      <c r="BQ15" s="70">
        <f t="shared" si="37"/>
        <v>0</v>
      </c>
      <c r="BR15" s="70">
        <f t="shared" si="38"/>
        <v>0</v>
      </c>
      <c r="BS15" s="70">
        <f t="shared" si="39"/>
        <v>0</v>
      </c>
      <c r="BT15" s="70">
        <f t="shared" si="40"/>
        <v>0</v>
      </c>
      <c r="BU15" s="70">
        <f t="shared" si="41"/>
        <v>0</v>
      </c>
      <c r="BV15" s="70">
        <f t="shared" si="42"/>
        <v>0</v>
      </c>
      <c r="BW15" s="51">
        <f t="shared" si="15"/>
        <v>0</v>
      </c>
      <c r="BX15" s="42"/>
      <c r="BY15" s="42"/>
      <c r="BZ15" s="41">
        <f t="shared" si="16"/>
        <v>0</v>
      </c>
      <c r="CA15" s="42"/>
      <c r="CB15" s="43"/>
      <c r="CC15" s="44">
        <f t="shared" si="17"/>
        <v>0</v>
      </c>
      <c r="CD15" s="42"/>
      <c r="CE15" s="42"/>
      <c r="CF15" s="41">
        <f t="shared" si="18"/>
        <v>0</v>
      </c>
      <c r="CG15" s="42"/>
      <c r="CH15" s="45"/>
      <c r="CI15" s="23"/>
    </row>
    <row r="16" spans="1:87" s="17" customFormat="1" ht="18" customHeight="1">
      <c r="A16" s="155" t="s">
        <v>9</v>
      </c>
      <c r="B16" s="137">
        <f t="shared" si="0"/>
        <v>2373000</v>
      </c>
      <c r="C16" s="73">
        <f t="shared" si="1"/>
        <v>2373000</v>
      </c>
      <c r="D16" s="74">
        <v>1280600</v>
      </c>
      <c r="E16" s="149">
        <f>641800+450600</f>
        <v>1092400</v>
      </c>
      <c r="F16" s="165">
        <v>965000</v>
      </c>
      <c r="G16" s="181"/>
      <c r="H16" s="73">
        <f t="shared" si="2"/>
        <v>1887893.28</v>
      </c>
      <c r="I16" s="74">
        <v>1437293.28</v>
      </c>
      <c r="J16" s="150">
        <v>450600</v>
      </c>
      <c r="K16" s="163">
        <v>965000</v>
      </c>
      <c r="L16" s="185"/>
      <c r="M16" s="75">
        <f t="shared" si="3"/>
        <v>16894629</v>
      </c>
      <c r="N16" s="149">
        <f>1092400</f>
        <v>1092400</v>
      </c>
      <c r="O16" s="146">
        <f t="shared" si="19"/>
        <v>0</v>
      </c>
      <c r="P16" s="123">
        <f t="shared" si="4"/>
        <v>1092400</v>
      </c>
      <c r="Q16" s="146">
        <f t="shared" si="20"/>
        <v>0</v>
      </c>
      <c r="R16" s="123">
        <f t="shared" si="5"/>
        <v>15802229</v>
      </c>
      <c r="S16" s="150">
        <f>14837229+965000</f>
        <v>15802229</v>
      </c>
      <c r="T16" s="49">
        <f t="shared" si="6"/>
        <v>16771242.2</v>
      </c>
      <c r="U16" s="150">
        <f>1092400</f>
        <v>1092400</v>
      </c>
      <c r="V16" s="147">
        <f t="shared" si="21"/>
        <v>0</v>
      </c>
      <c r="W16" s="133">
        <f t="shared" si="7"/>
        <v>1092400</v>
      </c>
      <c r="X16" s="147">
        <f t="shared" si="22"/>
        <v>0</v>
      </c>
      <c r="Y16" s="133">
        <f t="shared" si="8"/>
        <v>15678842.2</v>
      </c>
      <c r="Z16" s="74">
        <f>14713842.2+965000</f>
        <v>15678842.2</v>
      </c>
      <c r="AA16" s="59">
        <f t="shared" si="43"/>
        <v>0</v>
      </c>
      <c r="AB16" s="70">
        <f t="shared" si="23"/>
        <v>0</v>
      </c>
      <c r="AC16" s="70">
        <f t="shared" si="24"/>
        <v>0</v>
      </c>
      <c r="AD16" s="60">
        <f t="shared" si="44"/>
        <v>0</v>
      </c>
      <c r="AE16" s="70">
        <f t="shared" si="25"/>
        <v>0</v>
      </c>
      <c r="AF16" s="71">
        <f t="shared" si="26"/>
        <v>0</v>
      </c>
      <c r="AG16" s="77">
        <f t="shared" si="27"/>
        <v>0</v>
      </c>
      <c r="AH16" s="42"/>
      <c r="AI16" s="42"/>
      <c r="AJ16" s="42">
        <f t="shared" si="28"/>
        <v>0</v>
      </c>
      <c r="AK16" s="42"/>
      <c r="AL16" s="42"/>
      <c r="AM16" s="77">
        <f t="shared" si="29"/>
        <v>0</v>
      </c>
      <c r="AN16" s="42"/>
      <c r="AO16" s="42"/>
      <c r="AP16" s="42">
        <f t="shared" si="30"/>
        <v>0</v>
      </c>
      <c r="AQ16" s="42"/>
      <c r="AR16" s="42"/>
      <c r="AS16" s="65">
        <f t="shared" si="31"/>
        <v>0</v>
      </c>
      <c r="AT16" s="65">
        <f t="shared" si="32"/>
        <v>0</v>
      </c>
      <c r="AU16" s="65">
        <f t="shared" si="33"/>
        <v>0</v>
      </c>
      <c r="AV16" s="65">
        <f t="shared" si="34"/>
        <v>0</v>
      </c>
      <c r="AW16" s="65">
        <f t="shared" si="35"/>
        <v>0</v>
      </c>
      <c r="AX16" s="65">
        <f t="shared" si="36"/>
        <v>0</v>
      </c>
      <c r="AY16" s="51">
        <f t="shared" si="45"/>
        <v>0</v>
      </c>
      <c r="AZ16" s="42"/>
      <c r="BA16" s="42"/>
      <c r="BB16" s="41">
        <f t="shared" si="46"/>
        <v>0</v>
      </c>
      <c r="BC16" s="42"/>
      <c r="BD16" s="43"/>
      <c r="BE16" s="44">
        <f t="shared" si="11"/>
        <v>0</v>
      </c>
      <c r="BF16" s="42"/>
      <c r="BG16" s="42"/>
      <c r="BH16" s="41">
        <f t="shared" si="12"/>
        <v>0</v>
      </c>
      <c r="BI16" s="42"/>
      <c r="BJ16" s="43"/>
      <c r="BK16" s="69">
        <f t="shared" si="13"/>
        <v>0</v>
      </c>
      <c r="BL16" s="70"/>
      <c r="BM16" s="70"/>
      <c r="BN16" s="60">
        <f t="shared" si="14"/>
        <v>0</v>
      </c>
      <c r="BO16" s="70"/>
      <c r="BP16" s="71"/>
      <c r="BQ16" s="70">
        <f t="shared" si="37"/>
        <v>0</v>
      </c>
      <c r="BR16" s="70">
        <f t="shared" si="38"/>
        <v>0</v>
      </c>
      <c r="BS16" s="70">
        <f t="shared" si="39"/>
        <v>0</v>
      </c>
      <c r="BT16" s="70">
        <f t="shared" si="40"/>
        <v>0</v>
      </c>
      <c r="BU16" s="70">
        <f t="shared" si="41"/>
        <v>0</v>
      </c>
      <c r="BV16" s="70">
        <f t="shared" si="42"/>
        <v>0</v>
      </c>
      <c r="BW16" s="51">
        <f t="shared" si="15"/>
        <v>0</v>
      </c>
      <c r="BX16" s="42"/>
      <c r="BY16" s="42"/>
      <c r="BZ16" s="41">
        <f t="shared" si="16"/>
        <v>0</v>
      </c>
      <c r="CA16" s="42"/>
      <c r="CB16" s="43"/>
      <c r="CC16" s="44">
        <f t="shared" si="17"/>
        <v>0</v>
      </c>
      <c r="CD16" s="42"/>
      <c r="CE16" s="42"/>
      <c r="CF16" s="41">
        <f t="shared" si="18"/>
        <v>0</v>
      </c>
      <c r="CG16" s="42"/>
      <c r="CH16" s="45"/>
      <c r="CI16" s="23" t="s">
        <v>54</v>
      </c>
    </row>
    <row r="17" spans="1:87" s="17" customFormat="1" ht="24" customHeight="1">
      <c r="A17" s="155" t="s">
        <v>10</v>
      </c>
      <c r="B17" s="137">
        <f t="shared" si="0"/>
        <v>3455400</v>
      </c>
      <c r="C17" s="73">
        <f t="shared" si="1"/>
        <v>3455400</v>
      </c>
      <c r="D17" s="74">
        <v>1772300</v>
      </c>
      <c r="E17" s="149">
        <f>782100+631000+270000</f>
        <v>1683100</v>
      </c>
      <c r="F17" s="165">
        <v>660000</v>
      </c>
      <c r="G17" s="181"/>
      <c r="H17" s="73">
        <f t="shared" si="2"/>
        <v>3027227.7</v>
      </c>
      <c r="I17" s="74">
        <v>1751540.12</v>
      </c>
      <c r="J17" s="150">
        <f>901000+374687.58</f>
        <v>1275687.58</v>
      </c>
      <c r="K17" s="163">
        <v>0</v>
      </c>
      <c r="L17" s="185"/>
      <c r="M17" s="75">
        <f t="shared" si="3"/>
        <v>6908800</v>
      </c>
      <c r="N17" s="149">
        <f>1406000</f>
        <v>1406000</v>
      </c>
      <c r="O17" s="146">
        <f t="shared" si="19"/>
        <v>0</v>
      </c>
      <c r="P17" s="123">
        <f t="shared" si="4"/>
        <v>1406000</v>
      </c>
      <c r="Q17" s="146">
        <f t="shared" si="20"/>
        <v>0</v>
      </c>
      <c r="R17" s="123">
        <f t="shared" si="5"/>
        <v>5502800</v>
      </c>
      <c r="S17" s="150">
        <f>4842800+660000</f>
        <v>5502800</v>
      </c>
      <c r="T17" s="49">
        <f t="shared" si="6"/>
        <v>5371835.65</v>
      </c>
      <c r="U17" s="150">
        <f>1210475</f>
        <v>1210475</v>
      </c>
      <c r="V17" s="147">
        <f t="shared" si="21"/>
        <v>0</v>
      </c>
      <c r="W17" s="133">
        <f t="shared" si="7"/>
        <v>1210475</v>
      </c>
      <c r="X17" s="147">
        <f t="shared" si="22"/>
        <v>0</v>
      </c>
      <c r="Y17" s="133">
        <f t="shared" si="8"/>
        <v>4161360.65</v>
      </c>
      <c r="Z17" s="150">
        <f>3501360.65+660000</f>
        <v>4161360.65</v>
      </c>
      <c r="AA17" s="59">
        <f t="shared" si="43"/>
        <v>0</v>
      </c>
      <c r="AB17" s="70">
        <f t="shared" si="23"/>
        <v>0</v>
      </c>
      <c r="AC17" s="70">
        <f t="shared" si="24"/>
        <v>0</v>
      </c>
      <c r="AD17" s="60">
        <f t="shared" si="44"/>
        <v>0</v>
      </c>
      <c r="AE17" s="70">
        <f t="shared" si="25"/>
        <v>0</v>
      </c>
      <c r="AF17" s="71">
        <f t="shared" si="26"/>
        <v>0</v>
      </c>
      <c r="AG17" s="77">
        <f t="shared" si="27"/>
        <v>0</v>
      </c>
      <c r="AH17" s="42"/>
      <c r="AI17" s="42"/>
      <c r="AJ17" s="42">
        <f t="shared" si="28"/>
        <v>0</v>
      </c>
      <c r="AK17" s="42"/>
      <c r="AL17" s="42"/>
      <c r="AM17" s="77">
        <f t="shared" si="29"/>
        <v>0</v>
      </c>
      <c r="AN17" s="42"/>
      <c r="AO17" s="42"/>
      <c r="AP17" s="42">
        <f t="shared" si="30"/>
        <v>0</v>
      </c>
      <c r="AQ17" s="42"/>
      <c r="AR17" s="42"/>
      <c r="AS17" s="65">
        <f t="shared" si="31"/>
        <v>0</v>
      </c>
      <c r="AT17" s="65">
        <f t="shared" si="32"/>
        <v>0</v>
      </c>
      <c r="AU17" s="65">
        <f t="shared" si="33"/>
        <v>0</v>
      </c>
      <c r="AV17" s="65">
        <f t="shared" si="34"/>
        <v>0</v>
      </c>
      <c r="AW17" s="65">
        <f t="shared" si="35"/>
        <v>0</v>
      </c>
      <c r="AX17" s="65">
        <f t="shared" si="36"/>
        <v>0</v>
      </c>
      <c r="AY17" s="51">
        <f t="shared" si="45"/>
        <v>0</v>
      </c>
      <c r="AZ17" s="42"/>
      <c r="BA17" s="42"/>
      <c r="BB17" s="41">
        <f t="shared" si="46"/>
        <v>0</v>
      </c>
      <c r="BC17" s="42"/>
      <c r="BD17" s="43"/>
      <c r="BE17" s="44">
        <f t="shared" si="11"/>
        <v>0</v>
      </c>
      <c r="BF17" s="42"/>
      <c r="BG17" s="42"/>
      <c r="BH17" s="41">
        <f t="shared" si="12"/>
        <v>0</v>
      </c>
      <c r="BI17" s="42"/>
      <c r="BJ17" s="43"/>
      <c r="BK17" s="69">
        <f t="shared" si="13"/>
        <v>0</v>
      </c>
      <c r="BL17" s="70"/>
      <c r="BM17" s="70"/>
      <c r="BN17" s="60">
        <f t="shared" si="14"/>
        <v>0</v>
      </c>
      <c r="BO17" s="70"/>
      <c r="BP17" s="71"/>
      <c r="BQ17" s="70">
        <f t="shared" si="37"/>
        <v>0</v>
      </c>
      <c r="BR17" s="70">
        <f t="shared" si="38"/>
        <v>0</v>
      </c>
      <c r="BS17" s="70">
        <f t="shared" si="39"/>
        <v>0</v>
      </c>
      <c r="BT17" s="70">
        <f t="shared" si="40"/>
        <v>0</v>
      </c>
      <c r="BU17" s="70">
        <f t="shared" si="41"/>
        <v>0</v>
      </c>
      <c r="BV17" s="70">
        <f t="shared" si="42"/>
        <v>0</v>
      </c>
      <c r="BW17" s="51">
        <f t="shared" si="15"/>
        <v>0</v>
      </c>
      <c r="BX17" s="42"/>
      <c r="BY17" s="42"/>
      <c r="BZ17" s="41">
        <f t="shared" si="16"/>
        <v>0</v>
      </c>
      <c r="CA17" s="42"/>
      <c r="CB17" s="92"/>
      <c r="CC17" s="44">
        <f t="shared" si="17"/>
        <v>0</v>
      </c>
      <c r="CD17" s="42"/>
      <c r="CE17" s="42"/>
      <c r="CF17" s="41">
        <f t="shared" si="18"/>
        <v>0</v>
      </c>
      <c r="CG17" s="42"/>
      <c r="CH17" s="45"/>
      <c r="CI17" s="23" t="s">
        <v>59</v>
      </c>
    </row>
    <row r="18" spans="1:87" s="17" customFormat="1" ht="20.25" customHeight="1">
      <c r="A18" s="154" t="s">
        <v>11</v>
      </c>
      <c r="B18" s="137">
        <f t="shared" si="0"/>
        <v>5611900</v>
      </c>
      <c r="C18" s="73">
        <f t="shared" si="1"/>
        <v>5611900</v>
      </c>
      <c r="D18" s="74">
        <v>2243800</v>
      </c>
      <c r="E18" s="149">
        <v>3368100</v>
      </c>
      <c r="F18" s="165">
        <v>1444537</v>
      </c>
      <c r="G18" s="181"/>
      <c r="H18" s="73">
        <f t="shared" si="2"/>
        <v>4597523.79</v>
      </c>
      <c r="I18" s="74">
        <v>2421761.79</v>
      </c>
      <c r="J18" s="151">
        <v>2175762</v>
      </c>
      <c r="K18" s="164">
        <v>0</v>
      </c>
      <c r="L18" s="186"/>
      <c r="M18" s="75">
        <f t="shared" si="3"/>
        <v>17019354.509999998</v>
      </c>
      <c r="N18" s="149">
        <f>3368100</f>
        <v>3368100</v>
      </c>
      <c r="O18" s="146">
        <f t="shared" si="19"/>
        <v>0</v>
      </c>
      <c r="P18" s="123">
        <f t="shared" si="4"/>
        <v>3368100</v>
      </c>
      <c r="Q18" s="146">
        <f t="shared" si="20"/>
        <v>0</v>
      </c>
      <c r="R18" s="123">
        <f t="shared" si="5"/>
        <v>13651254.51</v>
      </c>
      <c r="S18" s="151">
        <f>8626710+5024544.51</f>
        <v>13651254.51</v>
      </c>
      <c r="T18" s="49">
        <f t="shared" si="6"/>
        <v>16766152.91</v>
      </c>
      <c r="U18" s="151">
        <f>3290864</f>
        <v>3290864</v>
      </c>
      <c r="V18" s="147">
        <f t="shared" si="21"/>
        <v>0</v>
      </c>
      <c r="W18" s="133">
        <f t="shared" si="7"/>
        <v>3290864</v>
      </c>
      <c r="X18" s="147">
        <f t="shared" si="22"/>
        <v>0</v>
      </c>
      <c r="Y18" s="133">
        <f t="shared" si="8"/>
        <v>13475288.91</v>
      </c>
      <c r="Z18" s="151">
        <f>8450744.4+5024544.51</f>
        <v>13475288.91</v>
      </c>
      <c r="AA18" s="59">
        <f t="shared" si="43"/>
        <v>0</v>
      </c>
      <c r="AB18" s="70">
        <f t="shared" si="23"/>
        <v>0</v>
      </c>
      <c r="AC18" s="70">
        <f t="shared" si="24"/>
        <v>0</v>
      </c>
      <c r="AD18" s="60">
        <f t="shared" si="44"/>
        <v>0</v>
      </c>
      <c r="AE18" s="70">
        <f t="shared" si="25"/>
        <v>0</v>
      </c>
      <c r="AF18" s="71">
        <f t="shared" si="26"/>
        <v>0</v>
      </c>
      <c r="AG18" s="77">
        <f t="shared" si="27"/>
        <v>0</v>
      </c>
      <c r="AH18" s="42"/>
      <c r="AI18" s="42"/>
      <c r="AJ18" s="42">
        <f t="shared" si="28"/>
        <v>0</v>
      </c>
      <c r="AK18" s="42"/>
      <c r="AL18" s="42"/>
      <c r="AM18" s="77">
        <f t="shared" si="29"/>
        <v>0</v>
      </c>
      <c r="AN18" s="42"/>
      <c r="AO18" s="42"/>
      <c r="AP18" s="42">
        <f t="shared" si="30"/>
        <v>0</v>
      </c>
      <c r="AQ18" s="42"/>
      <c r="AR18" s="42"/>
      <c r="AS18" s="65">
        <f t="shared" si="31"/>
        <v>0</v>
      </c>
      <c r="AT18" s="65">
        <f t="shared" si="32"/>
        <v>0</v>
      </c>
      <c r="AU18" s="65">
        <f t="shared" si="33"/>
        <v>0</v>
      </c>
      <c r="AV18" s="65">
        <f t="shared" si="34"/>
        <v>0</v>
      </c>
      <c r="AW18" s="65">
        <f t="shared" si="35"/>
        <v>0</v>
      </c>
      <c r="AX18" s="65">
        <f t="shared" si="36"/>
        <v>0</v>
      </c>
      <c r="AY18" s="51">
        <f t="shared" si="45"/>
        <v>0</v>
      </c>
      <c r="AZ18" s="42"/>
      <c r="BA18" s="42"/>
      <c r="BB18" s="41">
        <f t="shared" si="46"/>
        <v>0</v>
      </c>
      <c r="BC18" s="42"/>
      <c r="BD18" s="43"/>
      <c r="BE18" s="44">
        <f t="shared" si="11"/>
        <v>0</v>
      </c>
      <c r="BF18" s="42"/>
      <c r="BG18" s="42"/>
      <c r="BH18" s="41">
        <v>0</v>
      </c>
      <c r="BI18" s="42"/>
      <c r="BJ18" s="43"/>
      <c r="BK18" s="69">
        <f t="shared" si="13"/>
        <v>0</v>
      </c>
      <c r="BL18" s="70"/>
      <c r="BM18" s="70"/>
      <c r="BN18" s="60">
        <f t="shared" si="14"/>
        <v>0</v>
      </c>
      <c r="BO18" s="70"/>
      <c r="BP18" s="71"/>
      <c r="BQ18" s="70">
        <f t="shared" si="37"/>
        <v>0</v>
      </c>
      <c r="BR18" s="70">
        <f t="shared" si="38"/>
        <v>0</v>
      </c>
      <c r="BS18" s="70">
        <f t="shared" si="39"/>
        <v>0</v>
      </c>
      <c r="BT18" s="70">
        <f t="shared" si="40"/>
        <v>0</v>
      </c>
      <c r="BU18" s="70">
        <f t="shared" si="41"/>
        <v>0</v>
      </c>
      <c r="BV18" s="70">
        <f t="shared" si="42"/>
        <v>0</v>
      </c>
      <c r="BW18" s="51">
        <f t="shared" si="15"/>
        <v>0</v>
      </c>
      <c r="BX18" s="42"/>
      <c r="BY18" s="42"/>
      <c r="BZ18" s="41">
        <f t="shared" si="16"/>
        <v>0</v>
      </c>
      <c r="CA18" s="42"/>
      <c r="CB18" s="43"/>
      <c r="CC18" s="44">
        <f t="shared" si="17"/>
        <v>0</v>
      </c>
      <c r="CD18" s="42"/>
      <c r="CE18" s="42"/>
      <c r="CF18" s="41">
        <f t="shared" si="18"/>
        <v>0</v>
      </c>
      <c r="CG18" s="42"/>
      <c r="CH18" s="45"/>
      <c r="CI18" s="23" t="s">
        <v>64</v>
      </c>
    </row>
    <row r="19" spans="1:87" s="256" customFormat="1" ht="41.25" customHeight="1">
      <c r="A19" s="232" t="s">
        <v>12</v>
      </c>
      <c r="B19" s="233">
        <f t="shared" si="0"/>
        <v>18151654</v>
      </c>
      <c r="C19" s="234">
        <f t="shared" si="1"/>
        <v>18151654</v>
      </c>
      <c r="D19" s="235">
        <v>2520000</v>
      </c>
      <c r="E19" s="236">
        <v>15631654</v>
      </c>
      <c r="F19" s="237">
        <f>381216+1380000</f>
        <v>1761216</v>
      </c>
      <c r="G19" s="237"/>
      <c r="H19" s="234">
        <f t="shared" si="2"/>
        <v>3305336.13</v>
      </c>
      <c r="I19" s="235">
        <v>2533036.13</v>
      </c>
      <c r="J19" s="238">
        <v>772300</v>
      </c>
      <c r="K19" s="239">
        <v>0</v>
      </c>
      <c r="L19" s="239"/>
      <c r="M19" s="240">
        <f t="shared" si="3"/>
        <v>21135382</v>
      </c>
      <c r="N19" s="236">
        <f>15631654</f>
        <v>15631654</v>
      </c>
      <c r="O19" s="241">
        <f t="shared" si="19"/>
        <v>13681154</v>
      </c>
      <c r="P19" s="241">
        <f t="shared" si="4"/>
        <v>1950500</v>
      </c>
      <c r="Q19" s="241">
        <f t="shared" si="20"/>
        <v>5503728</v>
      </c>
      <c r="R19" s="241">
        <f t="shared" si="5"/>
        <v>0</v>
      </c>
      <c r="S19" s="238">
        <f>3742512+1761216</f>
        <v>5503728</v>
      </c>
      <c r="T19" s="242">
        <f t="shared" si="6"/>
        <v>13912250.18</v>
      </c>
      <c r="U19" s="238">
        <f>8920654</f>
        <v>8920654</v>
      </c>
      <c r="V19" s="233">
        <f t="shared" si="21"/>
        <v>8920654</v>
      </c>
      <c r="W19" s="233">
        <f t="shared" si="7"/>
        <v>0</v>
      </c>
      <c r="X19" s="233">
        <f t="shared" si="22"/>
        <v>4991596.18</v>
      </c>
      <c r="Y19" s="233">
        <f t="shared" si="8"/>
        <v>0</v>
      </c>
      <c r="Z19" s="238">
        <f>3377010.94+1614585.24</f>
        <v>4991596.18</v>
      </c>
      <c r="AA19" s="243">
        <f t="shared" si="43"/>
        <v>10975270</v>
      </c>
      <c r="AB19" s="244">
        <f t="shared" si="23"/>
        <v>10714054</v>
      </c>
      <c r="AC19" s="244">
        <f t="shared" si="24"/>
        <v>261216</v>
      </c>
      <c r="AD19" s="245">
        <f t="shared" si="44"/>
        <v>6098703</v>
      </c>
      <c r="AE19" s="244">
        <f t="shared" si="25"/>
        <v>5953554</v>
      </c>
      <c r="AF19" s="246">
        <f t="shared" si="26"/>
        <v>145149</v>
      </c>
      <c r="AG19" s="244">
        <f t="shared" si="27"/>
        <v>10975270</v>
      </c>
      <c r="AH19" s="247">
        <v>10714054</v>
      </c>
      <c r="AI19" s="247">
        <v>261216</v>
      </c>
      <c r="AJ19" s="244">
        <f t="shared" si="28"/>
        <v>6098703</v>
      </c>
      <c r="AK19" s="247">
        <v>5953554</v>
      </c>
      <c r="AL19" s="247">
        <v>145149</v>
      </c>
      <c r="AM19" s="244">
        <f t="shared" si="29"/>
        <v>0</v>
      </c>
      <c r="AN19" s="247"/>
      <c r="AO19" s="247"/>
      <c r="AP19" s="244">
        <f t="shared" si="30"/>
        <v>0</v>
      </c>
      <c r="AQ19" s="247"/>
      <c r="AR19" s="247"/>
      <c r="AS19" s="248">
        <f t="shared" si="31"/>
        <v>3752112</v>
      </c>
      <c r="AT19" s="248">
        <f t="shared" si="32"/>
        <v>2967100</v>
      </c>
      <c r="AU19" s="248">
        <f t="shared" si="33"/>
        <v>785012</v>
      </c>
      <c r="AV19" s="248">
        <f t="shared" si="34"/>
        <v>3965419.77</v>
      </c>
      <c r="AW19" s="248">
        <f t="shared" si="35"/>
        <v>2967100</v>
      </c>
      <c r="AX19" s="248">
        <f t="shared" si="36"/>
        <v>998319.77</v>
      </c>
      <c r="AY19" s="243">
        <f t="shared" si="45"/>
        <v>0</v>
      </c>
      <c r="AZ19" s="247"/>
      <c r="BA19" s="247"/>
      <c r="BB19" s="245">
        <f t="shared" si="46"/>
        <v>0</v>
      </c>
      <c r="BC19" s="247"/>
      <c r="BD19" s="249"/>
      <c r="BE19" s="250">
        <f t="shared" si="11"/>
        <v>3752112</v>
      </c>
      <c r="BF19" s="247">
        <v>2967100</v>
      </c>
      <c r="BG19" s="247">
        <v>785012</v>
      </c>
      <c r="BH19" s="245">
        <f t="shared" si="12"/>
        <v>3965419.77</v>
      </c>
      <c r="BI19" s="247">
        <v>2967100</v>
      </c>
      <c r="BJ19" s="249">
        <v>998319.77</v>
      </c>
      <c r="BK19" s="251">
        <f t="shared" si="13"/>
        <v>0</v>
      </c>
      <c r="BL19" s="247"/>
      <c r="BM19" s="247"/>
      <c r="BN19" s="252">
        <f t="shared" si="14"/>
        <v>0</v>
      </c>
      <c r="BO19" s="247"/>
      <c r="BP19" s="253"/>
      <c r="BQ19" s="244">
        <f t="shared" si="37"/>
        <v>4457500</v>
      </c>
      <c r="BR19" s="244">
        <f t="shared" si="38"/>
        <v>0</v>
      </c>
      <c r="BS19" s="244">
        <f t="shared" si="39"/>
        <v>4457500</v>
      </c>
      <c r="BT19" s="244">
        <f t="shared" si="40"/>
        <v>3848127.41</v>
      </c>
      <c r="BU19" s="244">
        <f t="shared" si="41"/>
        <v>0</v>
      </c>
      <c r="BV19" s="244">
        <f t="shared" si="42"/>
        <v>3848127.41</v>
      </c>
      <c r="BW19" s="254">
        <f t="shared" si="15"/>
        <v>4057500</v>
      </c>
      <c r="BX19" s="247"/>
      <c r="BY19" s="247">
        <v>4057500</v>
      </c>
      <c r="BZ19" s="252">
        <v>3491627.41</v>
      </c>
      <c r="CA19" s="247"/>
      <c r="CB19" s="249">
        <v>3491627.41</v>
      </c>
      <c r="CC19" s="251">
        <v>400000</v>
      </c>
      <c r="CD19" s="247"/>
      <c r="CE19" s="247">
        <v>400000</v>
      </c>
      <c r="CF19" s="252">
        <f t="shared" si="18"/>
        <v>356500</v>
      </c>
      <c r="CG19" s="247"/>
      <c r="CH19" s="253">
        <v>356500</v>
      </c>
      <c r="CI19" s="255" t="s">
        <v>55</v>
      </c>
    </row>
    <row r="20" spans="1:87" s="17" customFormat="1" ht="20.25" customHeight="1">
      <c r="A20" s="155" t="s">
        <v>13</v>
      </c>
      <c r="B20" s="137">
        <f t="shared" si="0"/>
        <v>11297715.3</v>
      </c>
      <c r="C20" s="73">
        <f t="shared" si="1"/>
        <v>11297715.3</v>
      </c>
      <c r="D20" s="74">
        <v>4800000</v>
      </c>
      <c r="E20" s="149">
        <f>2203900+1330415.3+835900+2127500</f>
        <v>6497715.3</v>
      </c>
      <c r="F20" s="165">
        <f>740000+1939950+420000</f>
        <v>3099950</v>
      </c>
      <c r="G20" s="181"/>
      <c r="H20" s="73">
        <f t="shared" si="2"/>
        <v>7976052.13</v>
      </c>
      <c r="I20" s="74">
        <v>4936252.13</v>
      </c>
      <c r="J20" s="150">
        <f>2203900+835900</f>
        <v>3039800</v>
      </c>
      <c r="K20" s="163">
        <f>740000+420000</f>
        <v>1160000</v>
      </c>
      <c r="L20" s="185"/>
      <c r="M20" s="75">
        <f t="shared" si="3"/>
        <v>20244840.52</v>
      </c>
      <c r="N20" s="149">
        <f>6755915.3+420000</f>
        <v>7175915.3</v>
      </c>
      <c r="O20" s="146">
        <f t="shared" si="19"/>
        <v>0</v>
      </c>
      <c r="P20" s="123">
        <f t="shared" si="4"/>
        <v>7175915.3</v>
      </c>
      <c r="Q20" s="146">
        <f t="shared" si="20"/>
        <v>0</v>
      </c>
      <c r="R20" s="123">
        <f t="shared" si="5"/>
        <v>13068925.22</v>
      </c>
      <c r="S20" s="150">
        <f>10388975.22+2679950</f>
        <v>13068925.22</v>
      </c>
      <c r="T20" s="49">
        <f t="shared" si="6"/>
        <v>20243961.32</v>
      </c>
      <c r="U20" s="150">
        <f>6755915.3+420000</f>
        <v>7175915.3</v>
      </c>
      <c r="V20" s="147">
        <f t="shared" si="21"/>
        <v>0</v>
      </c>
      <c r="W20" s="133">
        <f t="shared" si="7"/>
        <v>7175915.3</v>
      </c>
      <c r="X20" s="147">
        <f t="shared" si="22"/>
        <v>0</v>
      </c>
      <c r="Y20" s="133">
        <f t="shared" si="8"/>
        <v>13068046.02</v>
      </c>
      <c r="Z20" s="150">
        <f>10388096.02+2679950</f>
        <v>13068046.02</v>
      </c>
      <c r="AA20" s="59">
        <f t="shared" si="43"/>
        <v>0</v>
      </c>
      <c r="AB20" s="70">
        <f t="shared" si="23"/>
        <v>0</v>
      </c>
      <c r="AC20" s="70">
        <f t="shared" si="24"/>
        <v>0</v>
      </c>
      <c r="AD20" s="60">
        <f t="shared" si="44"/>
        <v>0</v>
      </c>
      <c r="AE20" s="70">
        <f t="shared" si="25"/>
        <v>0</v>
      </c>
      <c r="AF20" s="71">
        <f t="shared" si="26"/>
        <v>0</v>
      </c>
      <c r="AG20" s="77">
        <f t="shared" si="27"/>
        <v>0</v>
      </c>
      <c r="AH20" s="42"/>
      <c r="AI20" s="42"/>
      <c r="AJ20" s="42">
        <f t="shared" si="28"/>
        <v>0</v>
      </c>
      <c r="AK20" s="42"/>
      <c r="AL20" s="42"/>
      <c r="AM20" s="77">
        <f t="shared" si="29"/>
        <v>0</v>
      </c>
      <c r="AN20" s="42"/>
      <c r="AO20" s="42"/>
      <c r="AP20" s="42">
        <f t="shared" si="30"/>
        <v>0</v>
      </c>
      <c r="AQ20" s="42"/>
      <c r="AR20" s="42"/>
      <c r="AS20" s="65">
        <f t="shared" si="31"/>
        <v>0</v>
      </c>
      <c r="AT20" s="65">
        <f t="shared" si="32"/>
        <v>0</v>
      </c>
      <c r="AU20" s="65">
        <f t="shared" si="33"/>
        <v>0</v>
      </c>
      <c r="AV20" s="65">
        <f t="shared" si="34"/>
        <v>0</v>
      </c>
      <c r="AW20" s="65">
        <f t="shared" si="35"/>
        <v>0</v>
      </c>
      <c r="AX20" s="65">
        <f t="shared" si="36"/>
        <v>0</v>
      </c>
      <c r="AY20" s="51">
        <f t="shared" si="45"/>
        <v>0</v>
      </c>
      <c r="AZ20" s="42"/>
      <c r="BA20" s="42"/>
      <c r="BB20" s="41">
        <f t="shared" si="46"/>
        <v>0</v>
      </c>
      <c r="BC20" s="42"/>
      <c r="BD20" s="43"/>
      <c r="BE20" s="44">
        <f t="shared" si="11"/>
        <v>0</v>
      </c>
      <c r="BF20" s="42"/>
      <c r="BG20" s="42"/>
      <c r="BH20" s="41">
        <f t="shared" si="12"/>
        <v>0</v>
      </c>
      <c r="BI20" s="42"/>
      <c r="BJ20" s="43"/>
      <c r="BK20" s="69">
        <f t="shared" si="13"/>
        <v>0</v>
      </c>
      <c r="BL20" s="70"/>
      <c r="BM20" s="70"/>
      <c r="BN20" s="60">
        <f t="shared" si="14"/>
        <v>0</v>
      </c>
      <c r="BO20" s="70"/>
      <c r="BP20" s="71"/>
      <c r="BQ20" s="70">
        <f t="shared" si="37"/>
        <v>0</v>
      </c>
      <c r="BR20" s="70">
        <f t="shared" si="38"/>
        <v>0</v>
      </c>
      <c r="BS20" s="70">
        <f t="shared" si="39"/>
        <v>0</v>
      </c>
      <c r="BT20" s="70">
        <f t="shared" si="40"/>
        <v>0</v>
      </c>
      <c r="BU20" s="70">
        <f t="shared" si="41"/>
        <v>0</v>
      </c>
      <c r="BV20" s="70">
        <f t="shared" si="42"/>
        <v>0</v>
      </c>
      <c r="BW20" s="51">
        <f t="shared" si="15"/>
        <v>0</v>
      </c>
      <c r="BX20" s="42"/>
      <c r="BY20" s="42"/>
      <c r="BZ20" s="41">
        <f t="shared" si="16"/>
        <v>0</v>
      </c>
      <c r="CA20" s="42"/>
      <c r="CB20" s="43"/>
      <c r="CC20" s="44">
        <f t="shared" si="17"/>
        <v>0</v>
      </c>
      <c r="CD20" s="42"/>
      <c r="CE20" s="42"/>
      <c r="CF20" s="41">
        <f t="shared" si="18"/>
        <v>0</v>
      </c>
      <c r="CG20" s="42"/>
      <c r="CH20" s="45"/>
      <c r="CI20" s="23" t="s">
        <v>53</v>
      </c>
    </row>
    <row r="21" spans="1:87" s="17" customFormat="1" ht="37.5" customHeight="1">
      <c r="A21" s="155" t="s">
        <v>14</v>
      </c>
      <c r="B21" s="137">
        <f t="shared" si="0"/>
        <v>6545600</v>
      </c>
      <c r="C21" s="73">
        <f t="shared" si="1"/>
        <v>6545600</v>
      </c>
      <c r="D21" s="74">
        <v>2920000</v>
      </c>
      <c r="E21" s="149">
        <v>3625600</v>
      </c>
      <c r="F21" s="165">
        <f>732602</f>
        <v>732602</v>
      </c>
      <c r="G21" s="181"/>
      <c r="H21" s="73">
        <f t="shared" si="2"/>
        <v>5198997.2</v>
      </c>
      <c r="I21" s="74">
        <v>3142984.2</v>
      </c>
      <c r="J21" s="150">
        <v>2056013</v>
      </c>
      <c r="K21" s="163">
        <v>0</v>
      </c>
      <c r="L21" s="185"/>
      <c r="M21" s="75">
        <f t="shared" si="3"/>
        <v>15707202</v>
      </c>
      <c r="N21" s="149">
        <f>3625600</f>
        <v>3625600</v>
      </c>
      <c r="O21" s="146">
        <f t="shared" si="19"/>
        <v>0</v>
      </c>
      <c r="P21" s="123">
        <f t="shared" si="4"/>
        <v>3625600</v>
      </c>
      <c r="Q21" s="146">
        <f t="shared" si="20"/>
        <v>0</v>
      </c>
      <c r="R21" s="123">
        <f t="shared" si="5"/>
        <v>12081602</v>
      </c>
      <c r="S21" s="150">
        <f>11349000+732602</f>
        <v>12081602</v>
      </c>
      <c r="T21" s="49">
        <f t="shared" si="6"/>
        <v>13870269.940000001</v>
      </c>
      <c r="U21" s="150">
        <f>3061625</f>
        <v>3061625</v>
      </c>
      <c r="V21" s="147">
        <f t="shared" si="21"/>
        <v>0</v>
      </c>
      <c r="W21" s="133">
        <f t="shared" si="7"/>
        <v>3061625</v>
      </c>
      <c r="X21" s="147">
        <f t="shared" si="22"/>
        <v>0</v>
      </c>
      <c r="Y21" s="133">
        <f t="shared" si="8"/>
        <v>10808644.940000001</v>
      </c>
      <c r="Z21" s="150">
        <f>10076043.14+732601.8</f>
        <v>10808644.940000001</v>
      </c>
      <c r="AA21" s="59">
        <f t="shared" si="43"/>
        <v>0</v>
      </c>
      <c r="AB21" s="70">
        <f t="shared" si="23"/>
        <v>0</v>
      </c>
      <c r="AC21" s="70">
        <f t="shared" si="24"/>
        <v>0</v>
      </c>
      <c r="AD21" s="60">
        <f t="shared" si="44"/>
        <v>0</v>
      </c>
      <c r="AE21" s="70">
        <f t="shared" si="25"/>
        <v>0</v>
      </c>
      <c r="AF21" s="71">
        <f t="shared" si="26"/>
        <v>0</v>
      </c>
      <c r="AG21" s="77">
        <f t="shared" si="27"/>
        <v>0</v>
      </c>
      <c r="AH21" s="94"/>
      <c r="AI21" s="94"/>
      <c r="AJ21" s="42">
        <f t="shared" si="28"/>
        <v>0</v>
      </c>
      <c r="AK21" s="94"/>
      <c r="AL21" s="94"/>
      <c r="AM21" s="77">
        <f t="shared" si="29"/>
        <v>0</v>
      </c>
      <c r="AN21" s="94"/>
      <c r="AO21" s="94"/>
      <c r="AP21" s="42">
        <f t="shared" si="30"/>
        <v>0</v>
      </c>
      <c r="AQ21" s="94"/>
      <c r="AR21" s="94"/>
      <c r="AS21" s="65">
        <f t="shared" si="31"/>
        <v>0</v>
      </c>
      <c r="AT21" s="65">
        <f t="shared" si="32"/>
        <v>0</v>
      </c>
      <c r="AU21" s="65">
        <f t="shared" si="33"/>
        <v>0</v>
      </c>
      <c r="AV21" s="65">
        <f t="shared" si="34"/>
        <v>0</v>
      </c>
      <c r="AW21" s="65">
        <f t="shared" si="35"/>
        <v>0</v>
      </c>
      <c r="AX21" s="65">
        <f t="shared" si="36"/>
        <v>0</v>
      </c>
      <c r="AY21" s="51">
        <f t="shared" si="45"/>
        <v>0</v>
      </c>
      <c r="AZ21" s="94"/>
      <c r="BA21" s="94"/>
      <c r="BB21" s="41">
        <f t="shared" si="46"/>
        <v>0</v>
      </c>
      <c r="BC21" s="94"/>
      <c r="BD21" s="94"/>
      <c r="BE21" s="44">
        <f t="shared" si="11"/>
        <v>0</v>
      </c>
      <c r="BF21" s="94"/>
      <c r="BG21" s="94"/>
      <c r="BH21" s="41">
        <f t="shared" si="12"/>
        <v>0</v>
      </c>
      <c r="BI21" s="94"/>
      <c r="BJ21" s="95"/>
      <c r="BK21" s="69">
        <f t="shared" si="13"/>
        <v>0</v>
      </c>
      <c r="BL21" s="96"/>
      <c r="BM21" s="96"/>
      <c r="BN21" s="60">
        <f t="shared" si="14"/>
        <v>0</v>
      </c>
      <c r="BO21" s="96"/>
      <c r="BP21" s="97"/>
      <c r="BQ21" s="70">
        <f t="shared" si="37"/>
        <v>0</v>
      </c>
      <c r="BR21" s="70">
        <f t="shared" si="38"/>
        <v>0</v>
      </c>
      <c r="BS21" s="70">
        <f t="shared" si="39"/>
        <v>0</v>
      </c>
      <c r="BT21" s="70">
        <f t="shared" si="40"/>
        <v>0</v>
      </c>
      <c r="BU21" s="70">
        <f t="shared" si="41"/>
        <v>0</v>
      </c>
      <c r="BV21" s="70">
        <f t="shared" si="42"/>
        <v>0</v>
      </c>
      <c r="BW21" s="51">
        <f t="shared" si="15"/>
        <v>0</v>
      </c>
      <c r="BX21" s="94"/>
      <c r="BY21" s="94"/>
      <c r="BZ21" s="41">
        <f t="shared" si="16"/>
        <v>0</v>
      </c>
      <c r="CA21" s="94"/>
      <c r="CB21" s="95"/>
      <c r="CC21" s="44">
        <f t="shared" si="17"/>
        <v>0</v>
      </c>
      <c r="CD21" s="94"/>
      <c r="CE21" s="94"/>
      <c r="CF21" s="41">
        <f t="shared" si="18"/>
        <v>0</v>
      </c>
      <c r="CG21" s="94"/>
      <c r="CH21" s="98"/>
      <c r="CI21" s="24" t="s">
        <v>56</v>
      </c>
    </row>
    <row r="22" spans="1:87" s="17" customFormat="1" ht="36.75" customHeight="1">
      <c r="A22" s="154" t="s">
        <v>15</v>
      </c>
      <c r="B22" s="137">
        <f t="shared" si="0"/>
        <v>8895331</v>
      </c>
      <c r="C22" s="73">
        <f t="shared" si="1"/>
        <v>8895331</v>
      </c>
      <c r="D22" s="78">
        <v>1840300</v>
      </c>
      <c r="E22" s="149">
        <v>7055031</v>
      </c>
      <c r="F22" s="165">
        <f>527400</f>
        <v>527400</v>
      </c>
      <c r="G22" s="181"/>
      <c r="H22" s="73">
        <f t="shared" si="2"/>
        <v>7294391.05</v>
      </c>
      <c r="I22" s="78">
        <v>1881360.05</v>
      </c>
      <c r="J22" s="151">
        <v>5413031</v>
      </c>
      <c r="K22" s="164">
        <v>0</v>
      </c>
      <c r="L22" s="186"/>
      <c r="M22" s="75">
        <f t="shared" si="3"/>
        <v>10237586.98</v>
      </c>
      <c r="N22" s="149">
        <f>7055031</f>
        <v>7055031</v>
      </c>
      <c r="O22" s="146">
        <f t="shared" si="19"/>
        <v>0</v>
      </c>
      <c r="P22" s="123">
        <f t="shared" si="4"/>
        <v>7055031</v>
      </c>
      <c r="Q22" s="146">
        <f t="shared" si="20"/>
        <v>0</v>
      </c>
      <c r="R22" s="123">
        <f t="shared" si="5"/>
        <v>3182555.98</v>
      </c>
      <c r="S22" s="151">
        <f>2471491.25+711064.73</f>
        <v>3182555.98</v>
      </c>
      <c r="T22" s="49">
        <f t="shared" si="6"/>
        <v>10053916.59</v>
      </c>
      <c r="U22" s="151">
        <f>7055031</f>
        <v>7055031</v>
      </c>
      <c r="V22" s="147">
        <f t="shared" si="21"/>
        <v>0</v>
      </c>
      <c r="W22" s="133">
        <f t="shared" si="7"/>
        <v>7055031</v>
      </c>
      <c r="X22" s="147">
        <f t="shared" si="22"/>
        <v>0</v>
      </c>
      <c r="Y22" s="133">
        <f t="shared" si="8"/>
        <v>2998885.59</v>
      </c>
      <c r="Z22" s="151">
        <f>2287820.86+711064.73</f>
        <v>2998885.59</v>
      </c>
      <c r="AA22" s="59">
        <f t="shared" si="43"/>
        <v>0</v>
      </c>
      <c r="AB22" s="70">
        <f t="shared" si="23"/>
        <v>0</v>
      </c>
      <c r="AC22" s="70">
        <f t="shared" si="24"/>
        <v>0</v>
      </c>
      <c r="AD22" s="60">
        <f t="shared" si="44"/>
        <v>0</v>
      </c>
      <c r="AE22" s="70">
        <f t="shared" si="25"/>
        <v>0</v>
      </c>
      <c r="AF22" s="71">
        <f t="shared" si="26"/>
        <v>0</v>
      </c>
      <c r="AG22" s="77">
        <f t="shared" si="27"/>
        <v>0</v>
      </c>
      <c r="AH22" s="42"/>
      <c r="AI22" s="42"/>
      <c r="AJ22" s="42">
        <f t="shared" si="28"/>
        <v>0</v>
      </c>
      <c r="AK22" s="42"/>
      <c r="AL22" s="42"/>
      <c r="AM22" s="77">
        <f t="shared" si="29"/>
        <v>0</v>
      </c>
      <c r="AN22" s="42"/>
      <c r="AO22" s="42"/>
      <c r="AP22" s="42">
        <f t="shared" si="30"/>
        <v>0</v>
      </c>
      <c r="AQ22" s="42"/>
      <c r="AR22" s="42"/>
      <c r="AS22" s="65">
        <f t="shared" si="31"/>
        <v>0</v>
      </c>
      <c r="AT22" s="65">
        <f t="shared" si="32"/>
        <v>0</v>
      </c>
      <c r="AU22" s="65">
        <f t="shared" si="33"/>
        <v>0</v>
      </c>
      <c r="AV22" s="65">
        <f t="shared" si="34"/>
        <v>0</v>
      </c>
      <c r="AW22" s="65">
        <f t="shared" si="35"/>
        <v>0</v>
      </c>
      <c r="AX22" s="65">
        <f t="shared" si="36"/>
        <v>0</v>
      </c>
      <c r="AY22" s="51">
        <f t="shared" si="45"/>
        <v>0</v>
      </c>
      <c r="AZ22" s="42"/>
      <c r="BA22" s="42"/>
      <c r="BB22" s="41">
        <f t="shared" si="46"/>
        <v>0</v>
      </c>
      <c r="BC22" s="42"/>
      <c r="BD22" s="43"/>
      <c r="BE22" s="44">
        <f t="shared" si="11"/>
        <v>0</v>
      </c>
      <c r="BF22" s="42"/>
      <c r="BG22" s="42"/>
      <c r="BH22" s="41">
        <f t="shared" si="12"/>
        <v>0</v>
      </c>
      <c r="BI22" s="42"/>
      <c r="BJ22" s="43"/>
      <c r="BK22" s="69">
        <f t="shared" si="13"/>
        <v>0</v>
      </c>
      <c r="BL22" s="70"/>
      <c r="BM22" s="70"/>
      <c r="BN22" s="60">
        <f t="shared" si="14"/>
        <v>0</v>
      </c>
      <c r="BO22" s="70"/>
      <c r="BP22" s="71"/>
      <c r="BQ22" s="70">
        <f t="shared" si="37"/>
        <v>0</v>
      </c>
      <c r="BR22" s="70">
        <f t="shared" si="38"/>
        <v>0</v>
      </c>
      <c r="BS22" s="70">
        <f t="shared" si="39"/>
        <v>0</v>
      </c>
      <c r="BT22" s="70">
        <f t="shared" si="40"/>
        <v>0</v>
      </c>
      <c r="BU22" s="70">
        <f t="shared" si="41"/>
        <v>0</v>
      </c>
      <c r="BV22" s="70">
        <f t="shared" si="42"/>
        <v>0</v>
      </c>
      <c r="BW22" s="51">
        <f t="shared" si="15"/>
        <v>0</v>
      </c>
      <c r="BX22" s="42"/>
      <c r="BY22" s="42"/>
      <c r="BZ22" s="41">
        <f t="shared" si="16"/>
        <v>0</v>
      </c>
      <c r="CA22" s="42"/>
      <c r="CB22" s="43"/>
      <c r="CC22" s="44">
        <f t="shared" si="17"/>
        <v>0</v>
      </c>
      <c r="CD22" s="42"/>
      <c r="CE22" s="42"/>
      <c r="CF22" s="41">
        <f t="shared" si="18"/>
        <v>0</v>
      </c>
      <c r="CG22" s="42"/>
      <c r="CH22" s="45"/>
      <c r="CI22" s="23" t="s">
        <v>57</v>
      </c>
    </row>
    <row r="23" spans="1:87" s="17" customFormat="1" ht="20.25" customHeight="1" thickBot="1">
      <c r="A23" s="33" t="s">
        <v>16</v>
      </c>
      <c r="B23" s="138">
        <f t="shared" si="0"/>
        <v>4337200</v>
      </c>
      <c r="C23" s="99">
        <f t="shared" si="1"/>
        <v>4337200</v>
      </c>
      <c r="D23" s="100">
        <v>1800000</v>
      </c>
      <c r="E23" s="153">
        <v>2537200</v>
      </c>
      <c r="F23" s="171">
        <f>2000</f>
        <v>2000</v>
      </c>
      <c r="G23" s="182"/>
      <c r="H23" s="99">
        <f t="shared" si="2"/>
        <v>2501777.96</v>
      </c>
      <c r="I23" s="100">
        <v>1858177.96</v>
      </c>
      <c r="J23" s="152">
        <v>643600</v>
      </c>
      <c r="K23" s="166">
        <v>0</v>
      </c>
      <c r="L23" s="187"/>
      <c r="M23" s="101">
        <f t="shared" si="3"/>
        <v>10609095.13</v>
      </c>
      <c r="N23" s="153">
        <f>2537200</f>
        <v>2537200</v>
      </c>
      <c r="O23" s="146">
        <f t="shared" si="19"/>
        <v>0</v>
      </c>
      <c r="P23" s="124">
        <f t="shared" si="4"/>
        <v>2537200</v>
      </c>
      <c r="Q23" s="146">
        <f t="shared" si="20"/>
        <v>0</v>
      </c>
      <c r="R23" s="124">
        <f t="shared" si="5"/>
        <v>8071895.130000001</v>
      </c>
      <c r="S23" s="152">
        <f>6023232.53+2048662.6</f>
        <v>8071895.130000001</v>
      </c>
      <c r="T23" s="102">
        <f>U23+Z23</f>
        <v>9270881.16</v>
      </c>
      <c r="U23" s="152">
        <f>1442792.8</f>
        <v>1442792.8</v>
      </c>
      <c r="V23" s="148">
        <f>AE23+BC23+BI23+BO23+CA23+CG23</f>
        <v>0</v>
      </c>
      <c r="W23" s="134">
        <f t="shared" si="7"/>
        <v>1442792.8</v>
      </c>
      <c r="X23" s="147">
        <f t="shared" si="22"/>
        <v>0</v>
      </c>
      <c r="Y23" s="134">
        <f t="shared" si="8"/>
        <v>7828088.359999999</v>
      </c>
      <c r="Z23" s="152">
        <f>5779425.76+2048662.6</f>
        <v>7828088.359999999</v>
      </c>
      <c r="AA23" s="103">
        <f t="shared" si="43"/>
        <v>0</v>
      </c>
      <c r="AB23" s="70">
        <f t="shared" si="23"/>
        <v>0</v>
      </c>
      <c r="AC23" s="70">
        <f t="shared" si="24"/>
        <v>0</v>
      </c>
      <c r="AD23" s="104">
        <f t="shared" si="44"/>
        <v>0</v>
      </c>
      <c r="AE23" s="70">
        <f t="shared" si="25"/>
        <v>0</v>
      </c>
      <c r="AF23" s="71">
        <f t="shared" si="26"/>
        <v>0</v>
      </c>
      <c r="AG23" s="77">
        <f t="shared" si="27"/>
        <v>0</v>
      </c>
      <c r="AH23" s="42"/>
      <c r="AI23" s="42"/>
      <c r="AJ23" s="42">
        <f t="shared" si="28"/>
        <v>0</v>
      </c>
      <c r="AK23" s="42"/>
      <c r="AL23" s="42"/>
      <c r="AM23" s="77">
        <f t="shared" si="29"/>
        <v>0</v>
      </c>
      <c r="AN23" s="42"/>
      <c r="AO23" s="42"/>
      <c r="AP23" s="42">
        <f t="shared" si="30"/>
        <v>0</v>
      </c>
      <c r="AQ23" s="42"/>
      <c r="AR23" s="42"/>
      <c r="AS23" s="65">
        <f t="shared" si="31"/>
        <v>0</v>
      </c>
      <c r="AT23" s="65">
        <f t="shared" si="32"/>
        <v>0</v>
      </c>
      <c r="AU23" s="65">
        <f t="shared" si="33"/>
        <v>0</v>
      </c>
      <c r="AV23" s="65">
        <f t="shared" si="34"/>
        <v>0</v>
      </c>
      <c r="AW23" s="65">
        <f t="shared" si="35"/>
        <v>0</v>
      </c>
      <c r="AX23" s="65">
        <f t="shared" si="36"/>
        <v>0</v>
      </c>
      <c r="AY23" s="105">
        <f t="shared" si="45"/>
        <v>0</v>
      </c>
      <c r="AZ23" s="106"/>
      <c r="BA23" s="106"/>
      <c r="BB23" s="107">
        <f t="shared" si="46"/>
        <v>0</v>
      </c>
      <c r="BC23" s="106"/>
      <c r="BD23" s="108"/>
      <c r="BE23" s="109">
        <f t="shared" si="11"/>
        <v>0</v>
      </c>
      <c r="BF23" s="106"/>
      <c r="BG23" s="106"/>
      <c r="BH23" s="107">
        <f t="shared" si="12"/>
        <v>0</v>
      </c>
      <c r="BI23" s="106"/>
      <c r="BJ23" s="156"/>
      <c r="BK23" s="110">
        <f t="shared" si="13"/>
        <v>0</v>
      </c>
      <c r="BL23" s="111"/>
      <c r="BM23" s="111"/>
      <c r="BN23" s="104">
        <f t="shared" si="14"/>
        <v>0</v>
      </c>
      <c r="BO23" s="111"/>
      <c r="BP23" s="112"/>
      <c r="BQ23" s="70">
        <f t="shared" si="37"/>
        <v>0</v>
      </c>
      <c r="BR23" s="70">
        <f t="shared" si="38"/>
        <v>0</v>
      </c>
      <c r="BS23" s="70">
        <f t="shared" si="39"/>
        <v>0</v>
      </c>
      <c r="BT23" s="70">
        <f t="shared" si="40"/>
        <v>0</v>
      </c>
      <c r="BU23" s="70">
        <f t="shared" si="41"/>
        <v>0</v>
      </c>
      <c r="BV23" s="70">
        <f t="shared" si="42"/>
        <v>0</v>
      </c>
      <c r="BW23" s="105">
        <f t="shared" si="15"/>
        <v>0</v>
      </c>
      <c r="BX23" s="106"/>
      <c r="BY23" s="106"/>
      <c r="BZ23" s="107">
        <f t="shared" si="16"/>
        <v>0</v>
      </c>
      <c r="CA23" s="106"/>
      <c r="CB23" s="156"/>
      <c r="CC23" s="109">
        <f t="shared" si="17"/>
        <v>0</v>
      </c>
      <c r="CD23" s="106"/>
      <c r="CE23" s="106"/>
      <c r="CF23" s="107">
        <f t="shared" si="18"/>
        <v>0</v>
      </c>
      <c r="CG23" s="106"/>
      <c r="CH23" s="113"/>
      <c r="CI23" s="30"/>
    </row>
    <row r="24" spans="1:87" s="3" customFormat="1" ht="26.25" customHeight="1" thickBot="1">
      <c r="A24" s="18" t="s">
        <v>25</v>
      </c>
      <c r="B24" s="125">
        <f aca="true" t="shared" si="47" ref="B24:BC24">SUM(B6:B23)</f>
        <v>211623564.66000003</v>
      </c>
      <c r="C24" s="47">
        <f t="shared" si="47"/>
        <v>211623564.66000003</v>
      </c>
      <c r="D24" s="47">
        <f t="shared" si="47"/>
        <v>58830800</v>
      </c>
      <c r="E24" s="47">
        <f t="shared" si="47"/>
        <v>152792764.66</v>
      </c>
      <c r="F24" s="167">
        <f t="shared" si="47"/>
        <v>74634328.8</v>
      </c>
      <c r="G24" s="183"/>
      <c r="H24" s="47">
        <f t="shared" si="47"/>
        <v>102858237.28999999</v>
      </c>
      <c r="I24" s="47">
        <f t="shared" si="47"/>
        <v>60533225.940000005</v>
      </c>
      <c r="J24" s="47">
        <f t="shared" si="47"/>
        <v>42325011.35</v>
      </c>
      <c r="K24" s="167">
        <f t="shared" si="47"/>
        <v>31954643.35</v>
      </c>
      <c r="L24" s="183"/>
      <c r="M24" s="47">
        <f t="shared" si="47"/>
        <v>535790013.26</v>
      </c>
      <c r="N24" s="47">
        <f t="shared" si="47"/>
        <v>133493101.49</v>
      </c>
      <c r="O24" s="47">
        <f t="shared" si="47"/>
        <v>13681154</v>
      </c>
      <c r="P24" s="125">
        <f t="shared" si="47"/>
        <v>119811947.49</v>
      </c>
      <c r="Q24" s="47">
        <f t="shared" si="47"/>
        <v>5503728</v>
      </c>
      <c r="R24" s="125">
        <f t="shared" si="47"/>
        <v>396793183.77000004</v>
      </c>
      <c r="S24" s="47">
        <f t="shared" si="47"/>
        <v>402296911.77000004</v>
      </c>
      <c r="T24" s="114">
        <f t="shared" si="47"/>
        <v>491888555.84999996</v>
      </c>
      <c r="U24" s="47">
        <f t="shared" si="47"/>
        <v>120541724.47999999</v>
      </c>
      <c r="V24" s="47">
        <f t="shared" si="47"/>
        <v>8920654</v>
      </c>
      <c r="W24" s="125">
        <f t="shared" si="47"/>
        <v>111621070.47999999</v>
      </c>
      <c r="X24" s="47">
        <f t="shared" si="47"/>
        <v>4991596.18</v>
      </c>
      <c r="Y24" s="125">
        <f t="shared" si="47"/>
        <v>366355235.18999994</v>
      </c>
      <c r="Z24" s="47">
        <f t="shared" si="47"/>
        <v>371346831.36999995</v>
      </c>
      <c r="AA24" s="115">
        <f t="shared" si="47"/>
        <v>10975270</v>
      </c>
      <c r="AB24" s="115">
        <f t="shared" si="47"/>
        <v>10714054</v>
      </c>
      <c r="AC24" s="115">
        <f t="shared" si="47"/>
        <v>261216</v>
      </c>
      <c r="AD24" s="116">
        <f t="shared" si="47"/>
        <v>6098703</v>
      </c>
      <c r="AE24" s="115">
        <f t="shared" si="47"/>
        <v>5953554</v>
      </c>
      <c r="AF24" s="115">
        <f t="shared" si="47"/>
        <v>145149</v>
      </c>
      <c r="AG24" s="47">
        <f t="shared" si="47"/>
        <v>10975270</v>
      </c>
      <c r="AH24" s="47">
        <f t="shared" si="47"/>
        <v>10714054</v>
      </c>
      <c r="AI24" s="47">
        <f t="shared" si="47"/>
        <v>261216</v>
      </c>
      <c r="AJ24" s="47">
        <f t="shared" si="47"/>
        <v>6098703</v>
      </c>
      <c r="AK24" s="47">
        <f t="shared" si="47"/>
        <v>5953554</v>
      </c>
      <c r="AL24" s="47">
        <f t="shared" si="47"/>
        <v>145149</v>
      </c>
      <c r="AM24" s="47">
        <f t="shared" si="47"/>
        <v>0</v>
      </c>
      <c r="AN24" s="47">
        <f t="shared" si="47"/>
        <v>0</v>
      </c>
      <c r="AO24" s="47">
        <f t="shared" si="47"/>
        <v>0</v>
      </c>
      <c r="AP24" s="47">
        <f t="shared" si="47"/>
        <v>0</v>
      </c>
      <c r="AQ24" s="47">
        <f t="shared" si="47"/>
        <v>0</v>
      </c>
      <c r="AR24" s="47">
        <f t="shared" si="47"/>
        <v>0</v>
      </c>
      <c r="AS24" s="115">
        <f t="shared" si="47"/>
        <v>3752112</v>
      </c>
      <c r="AT24" s="115">
        <f t="shared" si="47"/>
        <v>2967100</v>
      </c>
      <c r="AU24" s="115">
        <f t="shared" si="47"/>
        <v>785012</v>
      </c>
      <c r="AV24" s="115">
        <f t="shared" si="47"/>
        <v>3965419.77</v>
      </c>
      <c r="AW24" s="115">
        <f t="shared" si="47"/>
        <v>2967100</v>
      </c>
      <c r="AX24" s="115">
        <f t="shared" si="47"/>
        <v>998319.77</v>
      </c>
      <c r="AY24" s="47">
        <f t="shared" si="47"/>
        <v>0</v>
      </c>
      <c r="AZ24" s="47">
        <f t="shared" si="47"/>
        <v>0</v>
      </c>
      <c r="BA24" s="47">
        <f t="shared" si="47"/>
        <v>0</v>
      </c>
      <c r="BB24" s="114">
        <f t="shared" si="47"/>
        <v>0</v>
      </c>
      <c r="BC24" s="47">
        <f t="shared" si="47"/>
        <v>0</v>
      </c>
      <c r="BD24" s="47">
        <f aca="true" t="shared" si="48" ref="BD24:CH24">SUM(BD6:BD23)</f>
        <v>0</v>
      </c>
      <c r="BE24" s="47">
        <f t="shared" si="48"/>
        <v>3752112</v>
      </c>
      <c r="BF24" s="47">
        <f t="shared" si="48"/>
        <v>2967100</v>
      </c>
      <c r="BG24" s="47">
        <f t="shared" si="48"/>
        <v>785012</v>
      </c>
      <c r="BH24" s="47">
        <f t="shared" si="48"/>
        <v>3965419.77</v>
      </c>
      <c r="BI24" s="47">
        <f t="shared" si="48"/>
        <v>2967100</v>
      </c>
      <c r="BJ24" s="47">
        <f t="shared" si="48"/>
        <v>998319.77</v>
      </c>
      <c r="BK24" s="115">
        <f t="shared" si="48"/>
        <v>0</v>
      </c>
      <c r="BL24" s="115">
        <f t="shared" si="48"/>
        <v>0</v>
      </c>
      <c r="BM24" s="115">
        <f t="shared" si="48"/>
        <v>0</v>
      </c>
      <c r="BN24" s="115">
        <f t="shared" si="48"/>
        <v>0</v>
      </c>
      <c r="BO24" s="115">
        <f t="shared" si="48"/>
        <v>0</v>
      </c>
      <c r="BP24" s="115">
        <f t="shared" si="48"/>
        <v>0</v>
      </c>
      <c r="BQ24" s="117">
        <f t="shared" si="48"/>
        <v>4457500</v>
      </c>
      <c r="BR24" s="117">
        <f t="shared" si="48"/>
        <v>0</v>
      </c>
      <c r="BS24" s="117">
        <f t="shared" si="48"/>
        <v>4457500</v>
      </c>
      <c r="BT24" s="117">
        <f t="shared" si="48"/>
        <v>3848127.41</v>
      </c>
      <c r="BU24" s="117">
        <f t="shared" si="48"/>
        <v>0</v>
      </c>
      <c r="BV24" s="117">
        <f t="shared" si="48"/>
        <v>3848127.41</v>
      </c>
      <c r="BW24" s="47">
        <f t="shared" si="48"/>
        <v>4057500</v>
      </c>
      <c r="BX24" s="47">
        <f t="shared" si="48"/>
        <v>0</v>
      </c>
      <c r="BY24" s="47">
        <f t="shared" si="48"/>
        <v>4057500</v>
      </c>
      <c r="BZ24" s="114">
        <f t="shared" si="48"/>
        <v>3491627.41</v>
      </c>
      <c r="CA24" s="47">
        <f t="shared" si="48"/>
        <v>0</v>
      </c>
      <c r="CB24" s="47">
        <f t="shared" si="48"/>
        <v>3491627.41</v>
      </c>
      <c r="CC24" s="47">
        <f t="shared" si="48"/>
        <v>400000</v>
      </c>
      <c r="CD24" s="47">
        <f t="shared" si="48"/>
        <v>0</v>
      </c>
      <c r="CE24" s="47">
        <f t="shared" si="48"/>
        <v>400000</v>
      </c>
      <c r="CF24" s="114">
        <f t="shared" si="48"/>
        <v>356500</v>
      </c>
      <c r="CG24" s="47">
        <f t="shared" si="48"/>
        <v>0</v>
      </c>
      <c r="CH24" s="47">
        <f t="shared" si="48"/>
        <v>356500</v>
      </c>
      <c r="CI24" s="25"/>
    </row>
    <row r="25" ht="12" customHeight="1"/>
    <row r="26" spans="10:60" ht="3" customHeight="1">
      <c r="J26" s="31" t="s">
        <v>37</v>
      </c>
      <c r="M26" s="31"/>
      <c r="N26" s="31"/>
      <c r="O26"/>
      <c r="P26" s="127">
        <f>P24</f>
        <v>119811947.49</v>
      </c>
      <c r="R26" s="131">
        <f>R24</f>
        <v>396793183.77000004</v>
      </c>
      <c r="T26"/>
      <c r="U26"/>
      <c r="V26"/>
      <c r="W26" s="127"/>
      <c r="Y26" s="131"/>
      <c r="AC26" s="62"/>
      <c r="BH26" s="48"/>
    </row>
    <row r="27" spans="13:27" ht="3" customHeight="1">
      <c r="M27" s="141"/>
      <c r="N27"/>
      <c r="O27"/>
      <c r="P27" s="128"/>
      <c r="T27"/>
      <c r="U27"/>
      <c r="V27"/>
      <c r="W27" s="128"/>
      <c r="AA27" s="63"/>
    </row>
    <row r="28" spans="1:21" ht="14.25" hidden="1">
      <c r="A28" s="31" t="s">
        <v>48</v>
      </c>
      <c r="B28" s="129"/>
      <c r="C28" s="31"/>
      <c r="D28" s="31"/>
      <c r="U28" s="35">
        <f>V24+X24</f>
        <v>13912250.18</v>
      </c>
    </row>
    <row r="29" ht="7.5" customHeight="1" hidden="1"/>
    <row r="30" spans="1:2" ht="14.25" hidden="1">
      <c r="A30" s="31" t="s">
        <v>49</v>
      </c>
      <c r="B30" s="129"/>
    </row>
    <row r="31" ht="6" customHeight="1" hidden="1"/>
    <row r="32" spans="1:5" ht="14.25" hidden="1">
      <c r="A32" s="31" t="s">
        <v>50</v>
      </c>
      <c r="B32" s="129"/>
      <c r="C32" s="31"/>
      <c r="D32" s="31"/>
      <c r="E32" s="31"/>
    </row>
    <row r="33" ht="3" customHeight="1"/>
    <row r="34" ht="3" customHeight="1"/>
    <row r="35" ht="3" customHeight="1"/>
    <row r="36" ht="14.25">
      <c r="A36" s="145" t="s">
        <v>61</v>
      </c>
    </row>
    <row r="37" spans="1:86" ht="14.25">
      <c r="A37" s="145" t="s">
        <v>62</v>
      </c>
      <c r="B37" s="143">
        <f>B23+B20+B15+B14+B11+B9</f>
        <v>127597016.66</v>
      </c>
      <c r="C37" s="142">
        <f aca="true" t="shared" si="49" ref="C37:BP37">C23+C20+C15+C14+C11+C9</f>
        <v>127597016.66</v>
      </c>
      <c r="D37" s="142">
        <f t="shared" si="49"/>
        <v>28994200</v>
      </c>
      <c r="E37" s="142">
        <f t="shared" si="49"/>
        <v>98602816.66</v>
      </c>
      <c r="F37" s="169">
        <f t="shared" si="49"/>
        <v>25730921</v>
      </c>
      <c r="G37" s="142"/>
      <c r="H37" s="142">
        <f t="shared" si="49"/>
        <v>43531231.989999995</v>
      </c>
      <c r="I37" s="142">
        <f t="shared" si="49"/>
        <v>29460389.22</v>
      </c>
      <c r="J37" s="142">
        <f t="shared" si="49"/>
        <v>14070842.77</v>
      </c>
      <c r="K37" s="169">
        <f t="shared" si="49"/>
        <v>14790936</v>
      </c>
      <c r="L37" s="142"/>
      <c r="M37" s="142">
        <f t="shared" si="49"/>
        <v>326784752.5</v>
      </c>
      <c r="N37" s="142">
        <f t="shared" si="49"/>
        <v>81791153.49000001</v>
      </c>
      <c r="O37" s="142">
        <f t="shared" si="49"/>
        <v>0</v>
      </c>
      <c r="P37" s="142">
        <f t="shared" si="49"/>
        <v>81791153.49000001</v>
      </c>
      <c r="Q37" s="142">
        <f t="shared" si="49"/>
        <v>0</v>
      </c>
      <c r="R37" s="142">
        <f t="shared" si="49"/>
        <v>244993599.01</v>
      </c>
      <c r="S37" s="142">
        <f t="shared" si="49"/>
        <v>244993599.01</v>
      </c>
      <c r="T37" s="142">
        <f t="shared" si="49"/>
        <v>305053082.58</v>
      </c>
      <c r="U37" s="142">
        <f t="shared" si="49"/>
        <v>76414731.48</v>
      </c>
      <c r="V37" s="142">
        <f t="shared" si="49"/>
        <v>0</v>
      </c>
      <c r="W37" s="142">
        <f t="shared" si="49"/>
        <v>76414731.48</v>
      </c>
      <c r="X37" s="142">
        <f t="shared" si="49"/>
        <v>0</v>
      </c>
      <c r="Y37" s="142">
        <f t="shared" si="49"/>
        <v>228638351.1</v>
      </c>
      <c r="Z37" s="142">
        <f t="shared" si="49"/>
        <v>228638351.1</v>
      </c>
      <c r="AA37" s="157">
        <f t="shared" si="49"/>
        <v>0</v>
      </c>
      <c r="AB37" s="157">
        <f t="shared" si="49"/>
        <v>0</v>
      </c>
      <c r="AC37" s="157">
        <f t="shared" si="49"/>
        <v>0</v>
      </c>
      <c r="AD37" s="157">
        <f t="shared" si="49"/>
        <v>0</v>
      </c>
      <c r="AE37" s="157">
        <f t="shared" si="49"/>
        <v>0</v>
      </c>
      <c r="AF37" s="157">
        <f t="shared" si="49"/>
        <v>0</v>
      </c>
      <c r="AG37" s="142">
        <f t="shared" si="49"/>
        <v>0</v>
      </c>
      <c r="AH37" s="142">
        <f t="shared" si="49"/>
        <v>0</v>
      </c>
      <c r="AI37" s="142">
        <f t="shared" si="49"/>
        <v>0</v>
      </c>
      <c r="AJ37" s="142">
        <f t="shared" si="49"/>
        <v>0</v>
      </c>
      <c r="AK37" s="142">
        <f t="shared" si="49"/>
        <v>0</v>
      </c>
      <c r="AL37" s="142">
        <f t="shared" si="49"/>
        <v>0</v>
      </c>
      <c r="AM37" s="142">
        <f t="shared" si="49"/>
        <v>0</v>
      </c>
      <c r="AN37" s="142">
        <f t="shared" si="49"/>
        <v>0</v>
      </c>
      <c r="AO37" s="142">
        <f t="shared" si="49"/>
        <v>0</v>
      </c>
      <c r="AP37" s="142">
        <f t="shared" si="49"/>
        <v>0</v>
      </c>
      <c r="AQ37" s="142">
        <f t="shared" si="49"/>
        <v>0</v>
      </c>
      <c r="AR37" s="142">
        <f t="shared" si="49"/>
        <v>0</v>
      </c>
      <c r="AS37" s="157">
        <f t="shared" si="49"/>
        <v>0</v>
      </c>
      <c r="AT37" s="157">
        <f t="shared" si="49"/>
        <v>0</v>
      </c>
      <c r="AU37" s="157">
        <f t="shared" si="49"/>
        <v>0</v>
      </c>
      <c r="AV37" s="157">
        <f t="shared" si="49"/>
        <v>0</v>
      </c>
      <c r="AW37" s="157">
        <f t="shared" si="49"/>
        <v>0</v>
      </c>
      <c r="AX37" s="157">
        <f t="shared" si="49"/>
        <v>0</v>
      </c>
      <c r="AY37" s="142">
        <f t="shared" si="49"/>
        <v>0</v>
      </c>
      <c r="AZ37" s="142">
        <f t="shared" si="49"/>
        <v>0</v>
      </c>
      <c r="BA37" s="142">
        <f t="shared" si="49"/>
        <v>0</v>
      </c>
      <c r="BB37" s="142">
        <f t="shared" si="49"/>
        <v>0</v>
      </c>
      <c r="BC37" s="142">
        <f t="shared" si="49"/>
        <v>0</v>
      </c>
      <c r="BD37" s="142">
        <f t="shared" si="49"/>
        <v>0</v>
      </c>
      <c r="BE37" s="142">
        <f t="shared" si="49"/>
        <v>0</v>
      </c>
      <c r="BF37" s="142">
        <f t="shared" si="49"/>
        <v>0</v>
      </c>
      <c r="BG37" s="142">
        <f t="shared" si="49"/>
        <v>0</v>
      </c>
      <c r="BH37" s="142">
        <f t="shared" si="49"/>
        <v>0</v>
      </c>
      <c r="BI37" s="142">
        <f t="shared" si="49"/>
        <v>0</v>
      </c>
      <c r="BJ37" s="142">
        <f t="shared" si="49"/>
        <v>0</v>
      </c>
      <c r="BK37" s="157">
        <f t="shared" si="49"/>
        <v>0</v>
      </c>
      <c r="BL37" s="157">
        <f t="shared" si="49"/>
        <v>0</v>
      </c>
      <c r="BM37" s="157">
        <f t="shared" si="49"/>
        <v>0</v>
      </c>
      <c r="BN37" s="157">
        <f t="shared" si="49"/>
        <v>0</v>
      </c>
      <c r="BO37" s="157">
        <f t="shared" si="49"/>
        <v>0</v>
      </c>
      <c r="BP37" s="157">
        <f t="shared" si="49"/>
        <v>0</v>
      </c>
      <c r="BQ37" s="157">
        <f aca="true" t="shared" si="50" ref="BQ37:CH37">BQ23+BQ20+BQ15+BQ14+BQ11+BQ9</f>
        <v>0</v>
      </c>
      <c r="BR37" s="157">
        <f t="shared" si="50"/>
        <v>0</v>
      </c>
      <c r="BS37" s="157">
        <f t="shared" si="50"/>
        <v>0</v>
      </c>
      <c r="BT37" s="157">
        <f t="shared" si="50"/>
        <v>0</v>
      </c>
      <c r="BU37" s="157">
        <f t="shared" si="50"/>
        <v>0</v>
      </c>
      <c r="BV37" s="157">
        <f t="shared" si="50"/>
        <v>0</v>
      </c>
      <c r="BW37" s="142">
        <f t="shared" si="50"/>
        <v>0</v>
      </c>
      <c r="BX37" s="142">
        <f t="shared" si="50"/>
        <v>0</v>
      </c>
      <c r="BY37" s="142">
        <f t="shared" si="50"/>
        <v>0</v>
      </c>
      <c r="BZ37" s="142">
        <f t="shared" si="50"/>
        <v>0</v>
      </c>
      <c r="CA37" s="142">
        <f t="shared" si="50"/>
        <v>0</v>
      </c>
      <c r="CB37" s="142">
        <f t="shared" si="50"/>
        <v>0</v>
      </c>
      <c r="CC37" s="142">
        <f t="shared" si="50"/>
        <v>0</v>
      </c>
      <c r="CD37" s="142">
        <f t="shared" si="50"/>
        <v>0</v>
      </c>
      <c r="CE37" s="142">
        <f t="shared" si="50"/>
        <v>0</v>
      </c>
      <c r="CF37" s="142">
        <f t="shared" si="50"/>
        <v>0</v>
      </c>
      <c r="CG37" s="142">
        <f t="shared" si="50"/>
        <v>0</v>
      </c>
      <c r="CH37" s="142">
        <f t="shared" si="50"/>
        <v>0</v>
      </c>
    </row>
    <row r="38" spans="1:86" ht="7.5" customHeight="1">
      <c r="A38" s="145"/>
      <c r="B38" s="144"/>
      <c r="C38" s="140"/>
      <c r="D38" s="140"/>
      <c r="E38" s="140"/>
      <c r="F38" s="170"/>
      <c r="G38" s="140"/>
      <c r="H38" s="140"/>
      <c r="I38" s="140"/>
      <c r="J38" s="140"/>
      <c r="K38" s="17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58"/>
      <c r="AB38" s="158"/>
      <c r="AC38" s="158"/>
      <c r="AD38" s="158"/>
      <c r="AE38" s="158"/>
      <c r="AF38" s="158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58"/>
      <c r="AT38" s="158"/>
      <c r="AU38" s="158"/>
      <c r="AV38" s="158"/>
      <c r="AW38" s="158"/>
      <c r="AX38" s="158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</row>
    <row r="39" spans="1:86" ht="14.25">
      <c r="A39" s="145" t="s">
        <v>63</v>
      </c>
      <c r="B39" s="143">
        <f>B22+B21+B19+B18+B17+B16+B13+B12++B8+B7+B6</f>
        <v>72515748</v>
      </c>
      <c r="C39" s="142">
        <f aca="true" t="shared" si="51" ref="C39:BP39">C22+C21+C19+C18+C17+C16+C13+C12++C8+C7+C6</f>
        <v>72515748</v>
      </c>
      <c r="D39" s="142">
        <f t="shared" si="51"/>
        <v>24258600</v>
      </c>
      <c r="E39" s="142">
        <f t="shared" si="51"/>
        <v>48257148</v>
      </c>
      <c r="F39" s="169">
        <f t="shared" si="51"/>
        <v>17397507.8</v>
      </c>
      <c r="G39" s="142"/>
      <c r="H39" s="142">
        <f t="shared" si="51"/>
        <v>50535934.46</v>
      </c>
      <c r="I39" s="142">
        <f t="shared" si="51"/>
        <v>24976446.879999995</v>
      </c>
      <c r="J39" s="142">
        <f t="shared" si="51"/>
        <v>25559487.58</v>
      </c>
      <c r="K39" s="169">
        <f t="shared" si="51"/>
        <v>2652408.2</v>
      </c>
      <c r="L39" s="142"/>
      <c r="M39" s="142">
        <f t="shared" si="51"/>
        <v>155663335.37</v>
      </c>
      <c r="N39" s="142">
        <f t="shared" si="51"/>
        <v>48980048</v>
      </c>
      <c r="O39" s="142">
        <f t="shared" si="51"/>
        <v>13681154</v>
      </c>
      <c r="P39" s="142">
        <f t="shared" si="51"/>
        <v>35298894</v>
      </c>
      <c r="Q39" s="142">
        <f t="shared" si="51"/>
        <v>5503728</v>
      </c>
      <c r="R39" s="142">
        <f t="shared" si="51"/>
        <v>101179559.37</v>
      </c>
      <c r="S39" s="142">
        <f t="shared" si="51"/>
        <v>106683287.37</v>
      </c>
      <c r="T39" s="142">
        <f t="shared" si="51"/>
        <v>140414282.39</v>
      </c>
      <c r="U39" s="142">
        <f t="shared" si="51"/>
        <v>41432312</v>
      </c>
      <c r="V39" s="142">
        <f t="shared" si="51"/>
        <v>8920654</v>
      </c>
      <c r="W39" s="142">
        <f t="shared" si="51"/>
        <v>32511658</v>
      </c>
      <c r="X39" s="142">
        <f t="shared" si="51"/>
        <v>4991596.18</v>
      </c>
      <c r="Y39" s="142">
        <f t="shared" si="51"/>
        <v>93990374.21</v>
      </c>
      <c r="Z39" s="142">
        <f t="shared" si="51"/>
        <v>98981970.39</v>
      </c>
      <c r="AA39" s="157">
        <f t="shared" si="51"/>
        <v>10975270</v>
      </c>
      <c r="AB39" s="157">
        <f t="shared" si="51"/>
        <v>10714054</v>
      </c>
      <c r="AC39" s="157">
        <f t="shared" si="51"/>
        <v>261216</v>
      </c>
      <c r="AD39" s="157">
        <f t="shared" si="51"/>
        <v>6098703</v>
      </c>
      <c r="AE39" s="157">
        <f t="shared" si="51"/>
        <v>5953554</v>
      </c>
      <c r="AF39" s="157">
        <f t="shared" si="51"/>
        <v>145149</v>
      </c>
      <c r="AG39" s="142">
        <f t="shared" si="51"/>
        <v>10975270</v>
      </c>
      <c r="AH39" s="142">
        <f t="shared" si="51"/>
        <v>10714054</v>
      </c>
      <c r="AI39" s="142">
        <f t="shared" si="51"/>
        <v>261216</v>
      </c>
      <c r="AJ39" s="142">
        <f t="shared" si="51"/>
        <v>6098703</v>
      </c>
      <c r="AK39" s="142">
        <f t="shared" si="51"/>
        <v>5953554</v>
      </c>
      <c r="AL39" s="142">
        <f t="shared" si="51"/>
        <v>145149</v>
      </c>
      <c r="AM39" s="142">
        <f t="shared" si="51"/>
        <v>0</v>
      </c>
      <c r="AN39" s="142">
        <f t="shared" si="51"/>
        <v>0</v>
      </c>
      <c r="AO39" s="142">
        <f t="shared" si="51"/>
        <v>0</v>
      </c>
      <c r="AP39" s="142">
        <f t="shared" si="51"/>
        <v>0</v>
      </c>
      <c r="AQ39" s="142">
        <f t="shared" si="51"/>
        <v>0</v>
      </c>
      <c r="AR39" s="142">
        <f t="shared" si="51"/>
        <v>0</v>
      </c>
      <c r="AS39" s="157">
        <f t="shared" si="51"/>
        <v>3752112</v>
      </c>
      <c r="AT39" s="157">
        <f t="shared" si="51"/>
        <v>2967100</v>
      </c>
      <c r="AU39" s="157">
        <f t="shared" si="51"/>
        <v>785012</v>
      </c>
      <c r="AV39" s="157">
        <f t="shared" si="51"/>
        <v>3965419.77</v>
      </c>
      <c r="AW39" s="157">
        <f t="shared" si="51"/>
        <v>2967100</v>
      </c>
      <c r="AX39" s="157">
        <f t="shared" si="51"/>
        <v>998319.77</v>
      </c>
      <c r="AY39" s="142">
        <f t="shared" si="51"/>
        <v>0</v>
      </c>
      <c r="AZ39" s="142">
        <f t="shared" si="51"/>
        <v>0</v>
      </c>
      <c r="BA39" s="142">
        <f t="shared" si="51"/>
        <v>0</v>
      </c>
      <c r="BB39" s="142">
        <f t="shared" si="51"/>
        <v>0</v>
      </c>
      <c r="BC39" s="142">
        <f t="shared" si="51"/>
        <v>0</v>
      </c>
      <c r="BD39" s="142">
        <f t="shared" si="51"/>
        <v>0</v>
      </c>
      <c r="BE39" s="142">
        <f t="shared" si="51"/>
        <v>3752112</v>
      </c>
      <c r="BF39" s="142">
        <f t="shared" si="51"/>
        <v>2967100</v>
      </c>
      <c r="BG39" s="142">
        <f t="shared" si="51"/>
        <v>785012</v>
      </c>
      <c r="BH39" s="142">
        <f t="shared" si="51"/>
        <v>3965419.77</v>
      </c>
      <c r="BI39" s="142">
        <f t="shared" si="51"/>
        <v>2967100</v>
      </c>
      <c r="BJ39" s="142">
        <f t="shared" si="51"/>
        <v>998319.77</v>
      </c>
      <c r="BK39" s="157">
        <f t="shared" si="51"/>
        <v>0</v>
      </c>
      <c r="BL39" s="157">
        <f t="shared" si="51"/>
        <v>0</v>
      </c>
      <c r="BM39" s="157">
        <f t="shared" si="51"/>
        <v>0</v>
      </c>
      <c r="BN39" s="157">
        <f t="shared" si="51"/>
        <v>0</v>
      </c>
      <c r="BO39" s="157">
        <f t="shared" si="51"/>
        <v>0</v>
      </c>
      <c r="BP39" s="157">
        <f t="shared" si="51"/>
        <v>0</v>
      </c>
      <c r="BQ39" s="157">
        <f aca="true" t="shared" si="52" ref="BQ39:CH39">BQ22+BQ21+BQ19+BQ18+BQ17+BQ16+BQ13+BQ12++BQ8+BQ7+BQ6</f>
        <v>4457500</v>
      </c>
      <c r="BR39" s="157">
        <f t="shared" si="52"/>
        <v>0</v>
      </c>
      <c r="BS39" s="157">
        <f t="shared" si="52"/>
        <v>4457500</v>
      </c>
      <c r="BT39" s="157">
        <f t="shared" si="52"/>
        <v>3848127.41</v>
      </c>
      <c r="BU39" s="157">
        <f t="shared" si="52"/>
        <v>0</v>
      </c>
      <c r="BV39" s="157">
        <f t="shared" si="52"/>
        <v>3848127.41</v>
      </c>
      <c r="BW39" s="142">
        <f t="shared" si="52"/>
        <v>4057500</v>
      </c>
      <c r="BX39" s="142">
        <f t="shared" si="52"/>
        <v>0</v>
      </c>
      <c r="BY39" s="142">
        <f t="shared" si="52"/>
        <v>4057500</v>
      </c>
      <c r="BZ39" s="142">
        <f t="shared" si="52"/>
        <v>3491627.41</v>
      </c>
      <c r="CA39" s="142">
        <f t="shared" si="52"/>
        <v>0</v>
      </c>
      <c r="CB39" s="142">
        <f t="shared" si="52"/>
        <v>3491627.41</v>
      </c>
      <c r="CC39" s="142">
        <f t="shared" si="52"/>
        <v>400000</v>
      </c>
      <c r="CD39" s="142">
        <f t="shared" si="52"/>
        <v>0</v>
      </c>
      <c r="CE39" s="142">
        <f t="shared" si="52"/>
        <v>400000</v>
      </c>
      <c r="CF39" s="142">
        <f t="shared" si="52"/>
        <v>356500</v>
      </c>
      <c r="CG39" s="142">
        <f t="shared" si="52"/>
        <v>0</v>
      </c>
      <c r="CH39" s="142">
        <f t="shared" si="52"/>
        <v>356500</v>
      </c>
    </row>
    <row r="40" spans="1:86" ht="6" customHeight="1">
      <c r="A40" s="145"/>
      <c r="B40" s="144"/>
      <c r="C40" s="140"/>
      <c r="D40" s="140"/>
      <c r="E40" s="140"/>
      <c r="F40" s="170"/>
      <c r="G40" s="140"/>
      <c r="H40" s="140"/>
      <c r="I40" s="140"/>
      <c r="J40" s="140"/>
      <c r="K40" s="17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58"/>
      <c r="AB40" s="158"/>
      <c r="AC40" s="158"/>
      <c r="AD40" s="158"/>
      <c r="AE40" s="158"/>
      <c r="AF40" s="158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58"/>
      <c r="AT40" s="158"/>
      <c r="AU40" s="158"/>
      <c r="AV40" s="158"/>
      <c r="AW40" s="158"/>
      <c r="AX40" s="158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</row>
    <row r="41" spans="1:86" ht="14.25">
      <c r="A41" s="145" t="s">
        <v>29</v>
      </c>
      <c r="B41" s="143">
        <f>B10</f>
        <v>11510800</v>
      </c>
      <c r="C41" s="142">
        <f aca="true" t="shared" si="53" ref="C41:BP41">C10</f>
        <v>11510800</v>
      </c>
      <c r="D41" s="142">
        <f t="shared" si="53"/>
        <v>5578000</v>
      </c>
      <c r="E41" s="142">
        <f t="shared" si="53"/>
        <v>5932800</v>
      </c>
      <c r="F41" s="169">
        <f t="shared" si="53"/>
        <v>31505900</v>
      </c>
      <c r="G41" s="142"/>
      <c r="H41" s="142">
        <f t="shared" si="53"/>
        <v>8791070.84</v>
      </c>
      <c r="I41" s="142">
        <f t="shared" si="53"/>
        <v>6096389.84</v>
      </c>
      <c r="J41" s="142">
        <f t="shared" si="53"/>
        <v>2694681</v>
      </c>
      <c r="K41" s="169">
        <f t="shared" si="53"/>
        <v>14511299.15</v>
      </c>
      <c r="L41" s="142"/>
      <c r="M41" s="142">
        <f t="shared" si="53"/>
        <v>53341925.39</v>
      </c>
      <c r="N41" s="142">
        <f t="shared" si="53"/>
        <v>2721900</v>
      </c>
      <c r="O41" s="142">
        <f t="shared" si="53"/>
        <v>0</v>
      </c>
      <c r="P41" s="142">
        <f t="shared" si="53"/>
        <v>2721900</v>
      </c>
      <c r="Q41" s="142">
        <f t="shared" si="53"/>
        <v>0</v>
      </c>
      <c r="R41" s="142">
        <f t="shared" si="53"/>
        <v>50620025.39</v>
      </c>
      <c r="S41" s="142">
        <f t="shared" si="53"/>
        <v>50620025.39</v>
      </c>
      <c r="T41" s="142">
        <f t="shared" si="53"/>
        <v>46421190.88</v>
      </c>
      <c r="U41" s="142">
        <f t="shared" si="53"/>
        <v>2694681</v>
      </c>
      <c r="V41" s="142">
        <f t="shared" si="53"/>
        <v>0</v>
      </c>
      <c r="W41" s="142">
        <f t="shared" si="53"/>
        <v>2694681</v>
      </c>
      <c r="X41" s="142">
        <f t="shared" si="53"/>
        <v>0</v>
      </c>
      <c r="Y41" s="142">
        <f t="shared" si="53"/>
        <v>43726509.88</v>
      </c>
      <c r="Z41" s="142">
        <f t="shared" si="53"/>
        <v>43726509.88</v>
      </c>
      <c r="AA41" s="157">
        <f t="shared" si="53"/>
        <v>0</v>
      </c>
      <c r="AB41" s="157">
        <f t="shared" si="53"/>
        <v>0</v>
      </c>
      <c r="AC41" s="157">
        <f t="shared" si="53"/>
        <v>0</v>
      </c>
      <c r="AD41" s="157">
        <f t="shared" si="53"/>
        <v>0</v>
      </c>
      <c r="AE41" s="157">
        <f t="shared" si="53"/>
        <v>0</v>
      </c>
      <c r="AF41" s="157">
        <f t="shared" si="53"/>
        <v>0</v>
      </c>
      <c r="AG41" s="142">
        <f t="shared" si="53"/>
        <v>0</v>
      </c>
      <c r="AH41" s="142">
        <f t="shared" si="53"/>
        <v>0</v>
      </c>
      <c r="AI41" s="142">
        <f t="shared" si="53"/>
        <v>0</v>
      </c>
      <c r="AJ41" s="142">
        <f t="shared" si="53"/>
        <v>0</v>
      </c>
      <c r="AK41" s="142">
        <f t="shared" si="53"/>
        <v>0</v>
      </c>
      <c r="AL41" s="142">
        <f t="shared" si="53"/>
        <v>0</v>
      </c>
      <c r="AM41" s="142">
        <f t="shared" si="53"/>
        <v>0</v>
      </c>
      <c r="AN41" s="142">
        <f t="shared" si="53"/>
        <v>0</v>
      </c>
      <c r="AO41" s="142">
        <f t="shared" si="53"/>
        <v>0</v>
      </c>
      <c r="AP41" s="142">
        <f t="shared" si="53"/>
        <v>0</v>
      </c>
      <c r="AQ41" s="142">
        <f t="shared" si="53"/>
        <v>0</v>
      </c>
      <c r="AR41" s="142">
        <f t="shared" si="53"/>
        <v>0</v>
      </c>
      <c r="AS41" s="157">
        <f t="shared" si="53"/>
        <v>0</v>
      </c>
      <c r="AT41" s="157">
        <f t="shared" si="53"/>
        <v>0</v>
      </c>
      <c r="AU41" s="157">
        <f t="shared" si="53"/>
        <v>0</v>
      </c>
      <c r="AV41" s="157">
        <f t="shared" si="53"/>
        <v>0</v>
      </c>
      <c r="AW41" s="157">
        <f t="shared" si="53"/>
        <v>0</v>
      </c>
      <c r="AX41" s="157">
        <f t="shared" si="53"/>
        <v>0</v>
      </c>
      <c r="AY41" s="142">
        <f t="shared" si="53"/>
        <v>0</v>
      </c>
      <c r="AZ41" s="142">
        <f t="shared" si="53"/>
        <v>0</v>
      </c>
      <c r="BA41" s="142">
        <f t="shared" si="53"/>
        <v>0</v>
      </c>
      <c r="BB41" s="142">
        <f t="shared" si="53"/>
        <v>0</v>
      </c>
      <c r="BC41" s="142">
        <f t="shared" si="53"/>
        <v>0</v>
      </c>
      <c r="BD41" s="142">
        <f t="shared" si="53"/>
        <v>0</v>
      </c>
      <c r="BE41" s="142">
        <f t="shared" si="53"/>
        <v>0</v>
      </c>
      <c r="BF41" s="142">
        <f t="shared" si="53"/>
        <v>0</v>
      </c>
      <c r="BG41" s="142">
        <f t="shared" si="53"/>
        <v>0</v>
      </c>
      <c r="BH41" s="142">
        <f t="shared" si="53"/>
        <v>0</v>
      </c>
      <c r="BI41" s="142">
        <f t="shared" si="53"/>
        <v>0</v>
      </c>
      <c r="BJ41" s="142">
        <f t="shared" si="53"/>
        <v>0</v>
      </c>
      <c r="BK41" s="157">
        <f t="shared" si="53"/>
        <v>0</v>
      </c>
      <c r="BL41" s="157">
        <f t="shared" si="53"/>
        <v>0</v>
      </c>
      <c r="BM41" s="157">
        <f t="shared" si="53"/>
        <v>0</v>
      </c>
      <c r="BN41" s="157">
        <f t="shared" si="53"/>
        <v>0</v>
      </c>
      <c r="BO41" s="157">
        <f t="shared" si="53"/>
        <v>0</v>
      </c>
      <c r="BP41" s="157">
        <f t="shared" si="53"/>
        <v>0</v>
      </c>
      <c r="BQ41" s="157">
        <f aca="true" t="shared" si="54" ref="BQ41:CH41">BQ10</f>
        <v>0</v>
      </c>
      <c r="BR41" s="157">
        <f t="shared" si="54"/>
        <v>0</v>
      </c>
      <c r="BS41" s="157">
        <f t="shared" si="54"/>
        <v>0</v>
      </c>
      <c r="BT41" s="157">
        <f t="shared" si="54"/>
        <v>0</v>
      </c>
      <c r="BU41" s="157">
        <f t="shared" si="54"/>
        <v>0</v>
      </c>
      <c r="BV41" s="157">
        <f t="shared" si="54"/>
        <v>0</v>
      </c>
      <c r="BW41" s="142">
        <f t="shared" si="54"/>
        <v>0</v>
      </c>
      <c r="BX41" s="142">
        <f t="shared" si="54"/>
        <v>0</v>
      </c>
      <c r="BY41" s="142">
        <f t="shared" si="54"/>
        <v>0</v>
      </c>
      <c r="BZ41" s="142">
        <f t="shared" si="54"/>
        <v>0</v>
      </c>
      <c r="CA41" s="142">
        <f t="shared" si="54"/>
        <v>0</v>
      </c>
      <c r="CB41" s="142">
        <f t="shared" si="54"/>
        <v>0</v>
      </c>
      <c r="CC41" s="142">
        <f t="shared" si="54"/>
        <v>0</v>
      </c>
      <c r="CD41" s="142">
        <f t="shared" si="54"/>
        <v>0</v>
      </c>
      <c r="CE41" s="142">
        <f t="shared" si="54"/>
        <v>0</v>
      </c>
      <c r="CF41" s="142">
        <f t="shared" si="54"/>
        <v>0</v>
      </c>
      <c r="CG41" s="142">
        <f t="shared" si="54"/>
        <v>0</v>
      </c>
      <c r="CH41" s="142">
        <f t="shared" si="54"/>
        <v>0</v>
      </c>
    </row>
    <row r="42" spans="1:86" ht="6" customHeight="1">
      <c r="A42" s="145"/>
      <c r="B42" s="144"/>
      <c r="C42" s="140"/>
      <c r="D42" s="140"/>
      <c r="E42" s="140"/>
      <c r="F42" s="170"/>
      <c r="G42" s="140"/>
      <c r="H42" s="140"/>
      <c r="I42" s="140"/>
      <c r="J42" s="140"/>
      <c r="K42" s="17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58"/>
      <c r="AB42" s="158"/>
      <c r="AC42" s="158"/>
      <c r="AD42" s="158"/>
      <c r="AE42" s="158"/>
      <c r="AF42" s="158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58"/>
      <c r="AT42" s="158"/>
      <c r="AU42" s="158"/>
      <c r="AV42" s="158"/>
      <c r="AW42" s="158"/>
      <c r="AX42" s="158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</row>
    <row r="43" spans="1:86" ht="14.25">
      <c r="A43" s="145" t="s">
        <v>25</v>
      </c>
      <c r="B43" s="143">
        <f>B37+B39+B41</f>
        <v>211623564.66</v>
      </c>
      <c r="C43" s="142">
        <f aca="true" t="shared" si="55" ref="C43:BP43">C37+C39+C41</f>
        <v>211623564.66</v>
      </c>
      <c r="D43" s="142">
        <f t="shared" si="55"/>
        <v>58830800</v>
      </c>
      <c r="E43" s="142">
        <f t="shared" si="55"/>
        <v>152792764.66</v>
      </c>
      <c r="F43" s="169">
        <f t="shared" si="55"/>
        <v>74634328.8</v>
      </c>
      <c r="G43" s="142"/>
      <c r="H43" s="142">
        <f t="shared" si="55"/>
        <v>102858237.28999999</v>
      </c>
      <c r="I43" s="142">
        <f t="shared" si="55"/>
        <v>60533225.94</v>
      </c>
      <c r="J43" s="142">
        <f t="shared" si="55"/>
        <v>42325011.349999994</v>
      </c>
      <c r="K43" s="169">
        <f t="shared" si="55"/>
        <v>31954643.35</v>
      </c>
      <c r="L43" s="142"/>
      <c r="M43" s="142">
        <f t="shared" si="55"/>
        <v>535790013.26</v>
      </c>
      <c r="N43" s="142">
        <f t="shared" si="55"/>
        <v>133493101.49000001</v>
      </c>
      <c r="O43" s="142">
        <f t="shared" si="55"/>
        <v>13681154</v>
      </c>
      <c r="P43" s="142">
        <f t="shared" si="55"/>
        <v>119811947.49000001</v>
      </c>
      <c r="Q43" s="142">
        <f t="shared" si="55"/>
        <v>5503728</v>
      </c>
      <c r="R43" s="142">
        <f t="shared" si="55"/>
        <v>396793183.77</v>
      </c>
      <c r="S43" s="142">
        <f t="shared" si="55"/>
        <v>402296911.77</v>
      </c>
      <c r="T43" s="142">
        <f t="shared" si="55"/>
        <v>491888555.84999996</v>
      </c>
      <c r="U43" s="142">
        <f t="shared" si="55"/>
        <v>120541724.48</v>
      </c>
      <c r="V43" s="142">
        <f t="shared" si="55"/>
        <v>8920654</v>
      </c>
      <c r="W43" s="142">
        <f t="shared" si="55"/>
        <v>111621070.48</v>
      </c>
      <c r="X43" s="142">
        <f t="shared" si="55"/>
        <v>4991596.18</v>
      </c>
      <c r="Y43" s="142">
        <f t="shared" si="55"/>
        <v>366355235.19</v>
      </c>
      <c r="Z43" s="142">
        <f t="shared" si="55"/>
        <v>371346831.37</v>
      </c>
      <c r="AA43" s="157">
        <f t="shared" si="55"/>
        <v>10975270</v>
      </c>
      <c r="AB43" s="157">
        <f t="shared" si="55"/>
        <v>10714054</v>
      </c>
      <c r="AC43" s="157">
        <f t="shared" si="55"/>
        <v>261216</v>
      </c>
      <c r="AD43" s="157">
        <f t="shared" si="55"/>
        <v>6098703</v>
      </c>
      <c r="AE43" s="157">
        <f t="shared" si="55"/>
        <v>5953554</v>
      </c>
      <c r="AF43" s="157">
        <f t="shared" si="55"/>
        <v>145149</v>
      </c>
      <c r="AG43" s="142">
        <f t="shared" si="55"/>
        <v>10975270</v>
      </c>
      <c r="AH43" s="142">
        <f t="shared" si="55"/>
        <v>10714054</v>
      </c>
      <c r="AI43" s="142">
        <f t="shared" si="55"/>
        <v>261216</v>
      </c>
      <c r="AJ43" s="142">
        <f t="shared" si="55"/>
        <v>6098703</v>
      </c>
      <c r="AK43" s="142">
        <f t="shared" si="55"/>
        <v>5953554</v>
      </c>
      <c r="AL43" s="142">
        <f t="shared" si="55"/>
        <v>145149</v>
      </c>
      <c r="AM43" s="142">
        <f t="shared" si="55"/>
        <v>0</v>
      </c>
      <c r="AN43" s="142">
        <f t="shared" si="55"/>
        <v>0</v>
      </c>
      <c r="AO43" s="142">
        <f t="shared" si="55"/>
        <v>0</v>
      </c>
      <c r="AP43" s="142">
        <f t="shared" si="55"/>
        <v>0</v>
      </c>
      <c r="AQ43" s="142">
        <f t="shared" si="55"/>
        <v>0</v>
      </c>
      <c r="AR43" s="142">
        <f t="shared" si="55"/>
        <v>0</v>
      </c>
      <c r="AS43" s="157">
        <f t="shared" si="55"/>
        <v>3752112</v>
      </c>
      <c r="AT43" s="157">
        <f t="shared" si="55"/>
        <v>2967100</v>
      </c>
      <c r="AU43" s="157">
        <f t="shared" si="55"/>
        <v>785012</v>
      </c>
      <c r="AV43" s="157">
        <f t="shared" si="55"/>
        <v>3965419.77</v>
      </c>
      <c r="AW43" s="157">
        <f t="shared" si="55"/>
        <v>2967100</v>
      </c>
      <c r="AX43" s="157">
        <f t="shared" si="55"/>
        <v>998319.77</v>
      </c>
      <c r="AY43" s="142">
        <f t="shared" si="55"/>
        <v>0</v>
      </c>
      <c r="AZ43" s="142">
        <f t="shared" si="55"/>
        <v>0</v>
      </c>
      <c r="BA43" s="142">
        <f t="shared" si="55"/>
        <v>0</v>
      </c>
      <c r="BB43" s="142">
        <f t="shared" si="55"/>
        <v>0</v>
      </c>
      <c r="BC43" s="142">
        <f t="shared" si="55"/>
        <v>0</v>
      </c>
      <c r="BD43" s="142">
        <f t="shared" si="55"/>
        <v>0</v>
      </c>
      <c r="BE43" s="142">
        <f t="shared" si="55"/>
        <v>3752112</v>
      </c>
      <c r="BF43" s="142">
        <f t="shared" si="55"/>
        <v>2967100</v>
      </c>
      <c r="BG43" s="142">
        <f t="shared" si="55"/>
        <v>785012</v>
      </c>
      <c r="BH43" s="142">
        <f t="shared" si="55"/>
        <v>3965419.77</v>
      </c>
      <c r="BI43" s="142">
        <f t="shared" si="55"/>
        <v>2967100</v>
      </c>
      <c r="BJ43" s="142">
        <f t="shared" si="55"/>
        <v>998319.77</v>
      </c>
      <c r="BK43" s="157">
        <f t="shared" si="55"/>
        <v>0</v>
      </c>
      <c r="BL43" s="157">
        <f t="shared" si="55"/>
        <v>0</v>
      </c>
      <c r="BM43" s="157">
        <f t="shared" si="55"/>
        <v>0</v>
      </c>
      <c r="BN43" s="157">
        <f t="shared" si="55"/>
        <v>0</v>
      </c>
      <c r="BO43" s="157">
        <f t="shared" si="55"/>
        <v>0</v>
      </c>
      <c r="BP43" s="157">
        <f t="shared" si="55"/>
        <v>0</v>
      </c>
      <c r="BQ43" s="157">
        <f aca="true" t="shared" si="56" ref="BQ43:CH43">BQ37+BQ39+BQ41</f>
        <v>4457500</v>
      </c>
      <c r="BR43" s="157">
        <f t="shared" si="56"/>
        <v>0</v>
      </c>
      <c r="BS43" s="157">
        <f t="shared" si="56"/>
        <v>4457500</v>
      </c>
      <c r="BT43" s="157">
        <f t="shared" si="56"/>
        <v>3848127.41</v>
      </c>
      <c r="BU43" s="157">
        <f t="shared" si="56"/>
        <v>0</v>
      </c>
      <c r="BV43" s="157">
        <f t="shared" si="56"/>
        <v>3848127.41</v>
      </c>
      <c r="BW43" s="142">
        <f t="shared" si="56"/>
        <v>4057500</v>
      </c>
      <c r="BX43" s="142">
        <f t="shared" si="56"/>
        <v>0</v>
      </c>
      <c r="BY43" s="142">
        <f t="shared" si="56"/>
        <v>4057500</v>
      </c>
      <c r="BZ43" s="142">
        <f t="shared" si="56"/>
        <v>3491627.41</v>
      </c>
      <c r="CA43" s="142">
        <f t="shared" si="56"/>
        <v>0</v>
      </c>
      <c r="CB43" s="142">
        <f t="shared" si="56"/>
        <v>3491627.41</v>
      </c>
      <c r="CC43" s="142">
        <f t="shared" si="56"/>
        <v>400000</v>
      </c>
      <c r="CD43" s="142">
        <f t="shared" si="56"/>
        <v>0</v>
      </c>
      <c r="CE43" s="142">
        <f t="shared" si="56"/>
        <v>400000</v>
      </c>
      <c r="CF43" s="142">
        <f t="shared" si="56"/>
        <v>356500</v>
      </c>
      <c r="CG43" s="142">
        <f t="shared" si="56"/>
        <v>0</v>
      </c>
      <c r="CH43" s="142">
        <f t="shared" si="56"/>
        <v>356500</v>
      </c>
    </row>
    <row r="46" spans="1:87" s="174" customFormat="1" ht="19.5" customHeight="1">
      <c r="A46" s="172" t="s">
        <v>62</v>
      </c>
      <c r="B46" s="173"/>
      <c r="G46" s="184"/>
      <c r="L46" s="184"/>
      <c r="M46" s="174">
        <f>AA46+AS46+BK46+BQ46</f>
        <v>370412356.65999997</v>
      </c>
      <c r="P46" s="173"/>
      <c r="R46" s="173"/>
      <c r="T46" s="174">
        <f aca="true" t="shared" si="57" ref="T46:T52">AD46+AV46+BN46+BT46</f>
        <v>158889941</v>
      </c>
      <c r="W46" s="173"/>
      <c r="Y46" s="173"/>
      <c r="AA46" s="172">
        <f>109026130.91+6825500</f>
        <v>115851630.91</v>
      </c>
      <c r="AB46" s="172"/>
      <c r="AC46" s="172"/>
      <c r="AD46" s="172">
        <f>3082788.98+88927.96</f>
        <v>3171716.94</v>
      </c>
      <c r="AE46" s="172"/>
      <c r="AF46" s="172"/>
      <c r="AS46" s="172">
        <f>126805204.55-34716800</f>
        <v>92088404.55</v>
      </c>
      <c r="AT46" s="172"/>
      <c r="AU46" s="172"/>
      <c r="AV46" s="172">
        <f>53546903.43-14511299.15</f>
        <v>39035604.28</v>
      </c>
      <c r="AW46" s="172"/>
      <c r="AX46" s="172"/>
      <c r="BK46" s="172">
        <v>13874382.21</v>
      </c>
      <c r="BL46" s="172"/>
      <c r="BM46" s="172"/>
      <c r="BN46" s="172">
        <v>13377137.34</v>
      </c>
      <c r="BO46" s="172"/>
      <c r="BP46" s="172"/>
      <c r="BQ46" s="172">
        <v>148597938.99</v>
      </c>
      <c r="BR46" s="172"/>
      <c r="BS46" s="172"/>
      <c r="BT46" s="172">
        <v>103305482.44</v>
      </c>
      <c r="BU46" s="172"/>
      <c r="BV46" s="172"/>
      <c r="CI46" s="175"/>
    </row>
    <row r="47" spans="1:87" s="174" customFormat="1" ht="19.5" customHeight="1">
      <c r="A47" s="172"/>
      <c r="B47" s="173"/>
      <c r="G47" s="184"/>
      <c r="L47" s="184"/>
      <c r="P47" s="173"/>
      <c r="R47" s="173"/>
      <c r="W47" s="173"/>
      <c r="Y47" s="173"/>
      <c r="AA47" s="172"/>
      <c r="AB47" s="172"/>
      <c r="AC47" s="172"/>
      <c r="AD47" s="172"/>
      <c r="AE47" s="172"/>
      <c r="AF47" s="172"/>
      <c r="AS47" s="172"/>
      <c r="AT47" s="172"/>
      <c r="AU47" s="172"/>
      <c r="AV47" s="172"/>
      <c r="AW47" s="172"/>
      <c r="AX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CI47" s="175"/>
    </row>
    <row r="48" spans="1:87" s="174" customFormat="1" ht="19.5" customHeight="1">
      <c r="A48" s="172" t="s">
        <v>63</v>
      </c>
      <c r="B48" s="173"/>
      <c r="G48" s="184"/>
      <c r="L48" s="184"/>
      <c r="M48" s="174">
        <f>AA48+AS48+BK48+BQ48</f>
        <v>170066281.76999998</v>
      </c>
      <c r="P48" s="173"/>
      <c r="R48" s="173"/>
      <c r="T48" s="174">
        <f>AD48+AV48+BN48+BT48</f>
        <v>65572040.489999995</v>
      </c>
      <c r="W48" s="173"/>
      <c r="Y48" s="173"/>
      <c r="AA48" s="172">
        <f>11087270+2540500</f>
        <v>13627770</v>
      </c>
      <c r="AB48" s="172"/>
      <c r="AC48" s="172"/>
      <c r="AD48" s="172">
        <v>0</v>
      </c>
      <c r="AE48" s="172"/>
      <c r="AF48" s="172"/>
      <c r="AS48" s="172">
        <v>104156086.1</v>
      </c>
      <c r="AT48" s="172"/>
      <c r="AU48" s="172"/>
      <c r="AV48" s="172">
        <v>44157329.66</v>
      </c>
      <c r="AW48" s="172"/>
      <c r="AX48" s="172"/>
      <c r="BK48" s="172">
        <v>12667381.1</v>
      </c>
      <c r="BL48" s="172"/>
      <c r="BM48" s="172"/>
      <c r="BN48" s="172">
        <v>4790249.87</v>
      </c>
      <c r="BO48" s="172"/>
      <c r="BP48" s="172"/>
      <c r="BQ48" s="172">
        <v>39615044.57</v>
      </c>
      <c r="BR48" s="172"/>
      <c r="BS48" s="172"/>
      <c r="BT48" s="172">
        <v>16624460.96</v>
      </c>
      <c r="BU48" s="172"/>
      <c r="BV48" s="172"/>
      <c r="CI48" s="175"/>
    </row>
    <row r="49" spans="1:87" s="174" customFormat="1" ht="19.5" customHeight="1">
      <c r="A49" s="172"/>
      <c r="B49" s="173"/>
      <c r="G49" s="184"/>
      <c r="L49" s="184"/>
      <c r="P49" s="173"/>
      <c r="R49" s="173"/>
      <c r="W49" s="173"/>
      <c r="Y49" s="173"/>
      <c r="AA49" s="172"/>
      <c r="AB49" s="172"/>
      <c r="AC49" s="172"/>
      <c r="AD49" s="172"/>
      <c r="AE49" s="172"/>
      <c r="AF49" s="172"/>
      <c r="AS49" s="172"/>
      <c r="AT49" s="172"/>
      <c r="AU49" s="172"/>
      <c r="AV49" s="172"/>
      <c r="AW49" s="172"/>
      <c r="AX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CI49" s="175"/>
    </row>
    <row r="50" spans="1:87" s="174" customFormat="1" ht="19.5" customHeight="1">
      <c r="A50" s="172" t="s">
        <v>29</v>
      </c>
      <c r="B50" s="173"/>
      <c r="G50" s="184"/>
      <c r="L50" s="184"/>
      <c r="M50" s="174">
        <f>AA50+AS50+BK50+BQ50</f>
        <v>50241900</v>
      </c>
      <c r="P50" s="173"/>
      <c r="R50" s="173"/>
      <c r="T50" s="174">
        <f t="shared" si="57"/>
        <v>23206156.75</v>
      </c>
      <c r="W50" s="173"/>
      <c r="Y50" s="173"/>
      <c r="AA50" s="172"/>
      <c r="AB50" s="172"/>
      <c r="AC50" s="172"/>
      <c r="AD50" s="172"/>
      <c r="AE50" s="172"/>
      <c r="AF50" s="172"/>
      <c r="AS50" s="172">
        <v>41471900</v>
      </c>
      <c r="AT50" s="172"/>
      <c r="AU50" s="172"/>
      <c r="AV50" s="172">
        <v>17814019.31</v>
      </c>
      <c r="AW50" s="172"/>
      <c r="AX50" s="172"/>
      <c r="BK50" s="172"/>
      <c r="BL50" s="172"/>
      <c r="BM50" s="172"/>
      <c r="BN50" s="172"/>
      <c r="BO50" s="172"/>
      <c r="BP50" s="172"/>
      <c r="BQ50" s="172">
        <v>8770000</v>
      </c>
      <c r="BR50" s="172"/>
      <c r="BS50" s="172"/>
      <c r="BT50" s="172">
        <v>5392137.44</v>
      </c>
      <c r="BU50" s="172"/>
      <c r="BV50" s="172"/>
      <c r="CI50" s="175"/>
    </row>
    <row r="51" spans="1:87" s="174" customFormat="1" ht="19.5" customHeight="1">
      <c r="A51" s="172"/>
      <c r="B51" s="173"/>
      <c r="G51" s="184"/>
      <c r="L51" s="184"/>
      <c r="P51" s="173"/>
      <c r="R51" s="173"/>
      <c r="W51" s="173"/>
      <c r="Y51" s="173"/>
      <c r="AA51" s="172"/>
      <c r="AB51" s="172"/>
      <c r="AC51" s="172"/>
      <c r="AD51" s="172"/>
      <c r="AE51" s="172"/>
      <c r="AF51" s="172"/>
      <c r="AS51" s="172"/>
      <c r="AT51" s="172"/>
      <c r="AU51" s="172"/>
      <c r="AV51" s="172"/>
      <c r="AW51" s="172"/>
      <c r="AX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CI51" s="175"/>
    </row>
    <row r="52" spans="1:87" s="174" customFormat="1" ht="19.5" customHeight="1">
      <c r="A52" s="172" t="s">
        <v>25</v>
      </c>
      <c r="B52" s="173"/>
      <c r="G52" s="184"/>
      <c r="L52" s="184"/>
      <c r="M52" s="174">
        <f>AA52+AS52+BK52+BQ52</f>
        <v>590720538.43</v>
      </c>
      <c r="P52" s="173"/>
      <c r="R52" s="173"/>
      <c r="T52" s="174">
        <f t="shared" si="57"/>
        <v>247668138.24</v>
      </c>
      <c r="W52" s="173"/>
      <c r="Y52" s="173"/>
      <c r="AA52" s="172">
        <f>SUM(AA46:AA51)</f>
        <v>129479400.91</v>
      </c>
      <c r="AB52" s="172">
        <f aca="true" t="shared" si="58" ref="AB52:CI52">SUM(AB46:AB51)</f>
        <v>0</v>
      </c>
      <c r="AC52" s="172">
        <f t="shared" si="58"/>
        <v>0</v>
      </c>
      <c r="AD52" s="172">
        <f t="shared" si="58"/>
        <v>3171716.94</v>
      </c>
      <c r="AE52" s="172">
        <f t="shared" si="58"/>
        <v>0</v>
      </c>
      <c r="AF52" s="172">
        <f t="shared" si="58"/>
        <v>0</v>
      </c>
      <c r="AG52" s="172">
        <f t="shared" si="58"/>
        <v>0</v>
      </c>
      <c r="AH52" s="172">
        <f t="shared" si="58"/>
        <v>0</v>
      </c>
      <c r="AI52" s="172">
        <f t="shared" si="58"/>
        <v>0</v>
      </c>
      <c r="AJ52" s="172">
        <f t="shared" si="58"/>
        <v>0</v>
      </c>
      <c r="AK52" s="172">
        <f t="shared" si="58"/>
        <v>0</v>
      </c>
      <c r="AL52" s="172">
        <f t="shared" si="58"/>
        <v>0</v>
      </c>
      <c r="AM52" s="172">
        <f t="shared" si="58"/>
        <v>0</v>
      </c>
      <c r="AN52" s="172">
        <f t="shared" si="58"/>
        <v>0</v>
      </c>
      <c r="AO52" s="172">
        <f t="shared" si="58"/>
        <v>0</v>
      </c>
      <c r="AP52" s="172">
        <f t="shared" si="58"/>
        <v>0</v>
      </c>
      <c r="AQ52" s="172">
        <f t="shared" si="58"/>
        <v>0</v>
      </c>
      <c r="AR52" s="172">
        <f t="shared" si="58"/>
        <v>0</v>
      </c>
      <c r="AS52" s="172">
        <f t="shared" si="58"/>
        <v>237716390.64999998</v>
      </c>
      <c r="AT52" s="172">
        <f t="shared" si="58"/>
        <v>0</v>
      </c>
      <c r="AU52" s="172">
        <f t="shared" si="58"/>
        <v>0</v>
      </c>
      <c r="AV52" s="172">
        <f t="shared" si="58"/>
        <v>101006953.25</v>
      </c>
      <c r="AW52" s="172">
        <f t="shared" si="58"/>
        <v>0</v>
      </c>
      <c r="AX52" s="172">
        <f t="shared" si="58"/>
        <v>0</v>
      </c>
      <c r="AY52" s="172">
        <f t="shared" si="58"/>
        <v>0</v>
      </c>
      <c r="AZ52" s="172">
        <f t="shared" si="58"/>
        <v>0</v>
      </c>
      <c r="BA52" s="172">
        <f t="shared" si="58"/>
        <v>0</v>
      </c>
      <c r="BB52" s="172">
        <f t="shared" si="58"/>
        <v>0</v>
      </c>
      <c r="BC52" s="172">
        <f t="shared" si="58"/>
        <v>0</v>
      </c>
      <c r="BD52" s="172">
        <f t="shared" si="58"/>
        <v>0</v>
      </c>
      <c r="BE52" s="172">
        <f t="shared" si="58"/>
        <v>0</v>
      </c>
      <c r="BF52" s="172">
        <f t="shared" si="58"/>
        <v>0</v>
      </c>
      <c r="BG52" s="172">
        <f t="shared" si="58"/>
        <v>0</v>
      </c>
      <c r="BH52" s="172">
        <f t="shared" si="58"/>
        <v>0</v>
      </c>
      <c r="BI52" s="172">
        <f t="shared" si="58"/>
        <v>0</v>
      </c>
      <c r="BJ52" s="172">
        <f t="shared" si="58"/>
        <v>0</v>
      </c>
      <c r="BK52" s="172">
        <f t="shared" si="58"/>
        <v>26541763.310000002</v>
      </c>
      <c r="BL52" s="172">
        <f t="shared" si="58"/>
        <v>0</v>
      </c>
      <c r="BM52" s="172">
        <f t="shared" si="58"/>
        <v>0</v>
      </c>
      <c r="BN52" s="172">
        <f t="shared" si="58"/>
        <v>18167387.21</v>
      </c>
      <c r="BO52" s="172">
        <f t="shared" si="58"/>
        <v>0</v>
      </c>
      <c r="BP52" s="172">
        <f t="shared" si="58"/>
        <v>0</v>
      </c>
      <c r="BQ52" s="172">
        <f t="shared" si="58"/>
        <v>196982983.56</v>
      </c>
      <c r="BR52" s="172">
        <f t="shared" si="58"/>
        <v>0</v>
      </c>
      <c r="BS52" s="172">
        <f t="shared" si="58"/>
        <v>0</v>
      </c>
      <c r="BT52" s="172">
        <f t="shared" si="58"/>
        <v>125322080.84</v>
      </c>
      <c r="BU52" s="172">
        <f t="shared" si="58"/>
        <v>0</v>
      </c>
      <c r="BV52" s="172">
        <f t="shared" si="58"/>
        <v>0</v>
      </c>
      <c r="BW52" s="172">
        <f t="shared" si="58"/>
        <v>0</v>
      </c>
      <c r="BX52" s="172">
        <f t="shared" si="58"/>
        <v>0</v>
      </c>
      <c r="BY52" s="172">
        <f t="shared" si="58"/>
        <v>0</v>
      </c>
      <c r="BZ52" s="172">
        <f t="shared" si="58"/>
        <v>0</v>
      </c>
      <c r="CA52" s="172">
        <f t="shared" si="58"/>
        <v>0</v>
      </c>
      <c r="CB52" s="172">
        <f t="shared" si="58"/>
        <v>0</v>
      </c>
      <c r="CC52" s="172">
        <f t="shared" si="58"/>
        <v>0</v>
      </c>
      <c r="CD52" s="172">
        <f t="shared" si="58"/>
        <v>0</v>
      </c>
      <c r="CE52" s="172">
        <f t="shared" si="58"/>
        <v>0</v>
      </c>
      <c r="CF52" s="172">
        <f t="shared" si="58"/>
        <v>0</v>
      </c>
      <c r="CG52" s="172">
        <f t="shared" si="58"/>
        <v>0</v>
      </c>
      <c r="CH52" s="172">
        <f t="shared" si="58"/>
        <v>0</v>
      </c>
      <c r="CI52" s="172">
        <f t="shared" si="58"/>
        <v>0</v>
      </c>
    </row>
    <row r="53" spans="2:87" s="176" customFormat="1" ht="14.25">
      <c r="B53" s="177"/>
      <c r="G53" s="19"/>
      <c r="L53" s="19"/>
      <c r="M53" s="174"/>
      <c r="N53" s="174"/>
      <c r="O53" s="174"/>
      <c r="P53" s="173"/>
      <c r="Q53" s="174"/>
      <c r="R53" s="173"/>
      <c r="S53" s="174"/>
      <c r="T53" s="174"/>
      <c r="U53" s="174"/>
      <c r="V53" s="174"/>
      <c r="W53" s="173"/>
      <c r="X53" s="174"/>
      <c r="Y53" s="173"/>
      <c r="Z53" s="174"/>
      <c r="CI53" s="178"/>
    </row>
    <row r="54" spans="2:87" s="176" customFormat="1" ht="14.25">
      <c r="B54" s="177"/>
      <c r="G54" s="19"/>
      <c r="L54" s="19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3"/>
      <c r="X54" s="174"/>
      <c r="Y54" s="173"/>
      <c r="Z54" s="174"/>
      <c r="AA54" s="174">
        <f>AA43-AA52</f>
        <v>-118504130.91</v>
      </c>
      <c r="AD54" s="174">
        <f>AD43-AD52</f>
        <v>2926986.06</v>
      </c>
      <c r="AS54" s="174">
        <f>AS43-AS52</f>
        <v>-233964278.64999998</v>
      </c>
      <c r="AV54" s="174">
        <f>AV43-AV52</f>
        <v>-97041533.48</v>
      </c>
      <c r="BK54" s="174">
        <f>BK43-BK52</f>
        <v>-26541763.310000002</v>
      </c>
      <c r="BN54" s="174">
        <f>BN43-BN52</f>
        <v>-18167387.21</v>
      </c>
      <c r="BQ54" s="174">
        <f>BQ43-BQ52</f>
        <v>-192525483.56</v>
      </c>
      <c r="BT54" s="174">
        <f>BT43-BT52</f>
        <v>-121473953.43</v>
      </c>
      <c r="CI54" s="178"/>
    </row>
    <row r="56" spans="27:30" ht="14.25">
      <c r="AA56" s="63">
        <f>AA54+AS54+BQ54</f>
        <v>-544993893.1199999</v>
      </c>
      <c r="AD56" s="63">
        <f>AD54+AV54+BN54++BT54</f>
        <v>-233755888.06</v>
      </c>
    </row>
  </sheetData>
  <sheetProtection/>
  <protectedRanges>
    <protectedRange password="CF7A" sqref="E6:G23 J6:Z23" name="Диапазон1"/>
  </protectedRanges>
  <autoFilter ref="A4:CI24">
    <sortState ref="A5:CI56">
      <sortCondition sortBy="cellColor" dxfId="0" ref="A5:A56"/>
    </sortState>
  </autoFilter>
  <mergeCells count="42">
    <mergeCell ref="C2:F2"/>
    <mergeCell ref="H2:K2"/>
    <mergeCell ref="AS2:AX2"/>
    <mergeCell ref="AS3:AU3"/>
    <mergeCell ref="AV3:AX3"/>
    <mergeCell ref="AS5:AX5"/>
    <mergeCell ref="AG2:AL2"/>
    <mergeCell ref="BQ5:BV5"/>
    <mergeCell ref="AG3:AI3"/>
    <mergeCell ref="AJ3:AL3"/>
    <mergeCell ref="AM2:AR2"/>
    <mergeCell ref="AM3:AO3"/>
    <mergeCell ref="AP3:AR3"/>
    <mergeCell ref="AG5:AR5"/>
    <mergeCell ref="A1:A4"/>
    <mergeCell ref="AA1:CI1"/>
    <mergeCell ref="AA2:AF2"/>
    <mergeCell ref="AY2:BD2"/>
    <mergeCell ref="BK2:BP2"/>
    <mergeCell ref="M3:S3"/>
    <mergeCell ref="T3:Z3"/>
    <mergeCell ref="BE3:BG3"/>
    <mergeCell ref="BQ2:BV2"/>
    <mergeCell ref="BQ3:BS3"/>
    <mergeCell ref="BW2:CB2"/>
    <mergeCell ref="AD3:AF3"/>
    <mergeCell ref="AY3:BA3"/>
    <mergeCell ref="BB3:BD3"/>
    <mergeCell ref="BE2:BJ2"/>
    <mergeCell ref="BN3:BP3"/>
    <mergeCell ref="BH3:BJ3"/>
    <mergeCell ref="BT3:BV3"/>
    <mergeCell ref="CC3:CE3"/>
    <mergeCell ref="BW3:BY3"/>
    <mergeCell ref="B1:B3"/>
    <mergeCell ref="M1:Z2"/>
    <mergeCell ref="CC2:CI2"/>
    <mergeCell ref="CI3:CI4"/>
    <mergeCell ref="CF3:CH3"/>
    <mergeCell ref="BZ3:CB3"/>
    <mergeCell ref="BK3:BM3"/>
    <mergeCell ref="AA3:AC3"/>
  </mergeCells>
  <printOptions/>
  <pageMargins left="0.1968503937007874" right="0" top="0" bottom="0" header="0.15748031496062992" footer="0.15748031496062992"/>
  <pageSetup fitToWidth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Петрова Людмила Алексеевна</cp:lastModifiedBy>
  <cp:lastPrinted>2019-01-11T13:03:25Z</cp:lastPrinted>
  <dcterms:created xsi:type="dcterms:W3CDTF">2014-03-05T10:35:30Z</dcterms:created>
  <dcterms:modified xsi:type="dcterms:W3CDTF">2019-01-16T08:26:02Z</dcterms:modified>
  <cp:category/>
  <cp:version/>
  <cp:contentType/>
  <cp:contentStatus/>
</cp:coreProperties>
</file>