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68" tabRatio="599" activeTab="0"/>
  </bookViews>
  <sheets>
    <sheet name="Таблица" sheetId="1" r:id="rId1"/>
  </sheets>
  <definedNames>
    <definedName name="_xlnm._FilterDatabase" localSheetId="0" hidden="1">'Таблица'!$A$5:$CL$26</definedName>
  </definedNames>
  <calcPr fullCalcOnLoad="1"/>
</workbook>
</file>

<file path=xl/comments1.xml><?xml version="1.0" encoding="utf-8"?>
<comments xmlns="http://schemas.openxmlformats.org/spreadsheetml/2006/main">
  <authors>
    <author>zaytseva</author>
  </authors>
  <commentList>
    <comment ref="AF16" authorId="0">
      <text>
        <r>
          <rPr>
            <b/>
            <sz val="9"/>
            <rFont val="Tahoma"/>
            <family val="2"/>
          </rPr>
          <t>zaytseva:</t>
        </r>
        <r>
          <rPr>
            <sz val="9"/>
            <rFont val="Tahoma"/>
            <family val="2"/>
          </rPr>
          <t xml:space="preserve">
тех надзор 1025, софин проект и стр-ва инж и трансп инфрастр-ры 4497.4 и 2690.8</t>
        </r>
      </text>
    </comment>
  </commentList>
</comments>
</file>

<file path=xl/sharedStrings.xml><?xml version="1.0" encoding="utf-8"?>
<sst xmlns="http://schemas.openxmlformats.org/spreadsheetml/2006/main" count="180" uniqueCount="79">
  <si>
    <t>в т.ч. по направлениям расходов, тыс.руб.</t>
  </si>
  <si>
    <t>содержание</t>
  </si>
  <si>
    <t>Большеколпанское СП</t>
  </si>
  <si>
    <t>Веревское СП</t>
  </si>
  <si>
    <t>Войсковицкое СП</t>
  </si>
  <si>
    <t>Вырицкое ГП</t>
  </si>
  <si>
    <t>Дружногорское ГП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</si>
  <si>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</si>
  <si>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</si>
  <si>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</si>
  <si>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</si>
  <si>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</si>
  <si>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</si>
  <si>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Сиверское ГП</t>
  </si>
  <si>
    <t>Сусанинское СП</t>
  </si>
  <si>
    <t>Сяськелевское СП</t>
  </si>
  <si>
    <t>Таицкое ГП</t>
  </si>
  <si>
    <t>МО г. Гатчина</t>
  </si>
  <si>
    <t>МО г. Коммунар</t>
  </si>
  <si>
    <t>расшифровка прочих</t>
  </si>
  <si>
    <t>Всего</t>
  </si>
  <si>
    <t>ОБ</t>
  </si>
  <si>
    <t>МБ</t>
  </si>
  <si>
    <t xml:space="preserve">капитальный ремонт </t>
  </si>
  <si>
    <t xml:space="preserve">ремонт </t>
  </si>
  <si>
    <t>ИТОГО</t>
  </si>
  <si>
    <t xml:space="preserve">прочие </t>
  </si>
  <si>
    <t>Наименование поселения</t>
  </si>
  <si>
    <t>Объем бюджетных ассигнований в соответствии с решением о бюджете   0409 "Дорожное хозяйство (дорожные фонды)*  тыс.руб.</t>
  </si>
  <si>
    <t>ГМР</t>
  </si>
  <si>
    <t>Объем доходов в соответствии с источниками, определенными решением о создании муниципального дорожного фонда (акцизы+областные)</t>
  </si>
  <si>
    <t>Акцизы</t>
  </si>
  <si>
    <t>Субсидии</t>
  </si>
  <si>
    <t>Разница ОБ</t>
  </si>
  <si>
    <t>Разница МБ</t>
  </si>
  <si>
    <t>Данные поселений ОБ</t>
  </si>
  <si>
    <t>Данные поселений МБ</t>
  </si>
  <si>
    <t>ИТОГИ ДОЛЖНЫ БЫТЬ НУЛЕВЫМИ</t>
  </si>
  <si>
    <t>строительство сети автомобильных дорог общего пользования и искуственных сооружений на них</t>
  </si>
  <si>
    <t>проектирование сети автомобильных дорог общего пользования и искусственных сооружений на них</t>
  </si>
  <si>
    <t>для заполнения справочной таблицы к ежемесячному отчету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</si>
  <si>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</si>
  <si>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сети автомобильных дорог общего пользования и искусственных сооружений на них, ВСЕГО</t>
  </si>
  <si>
    <t>капитальный ремонт и ремонт сети автомобильных дорог общего пользования и искусственных сооружений на них, ВСЕГО</t>
  </si>
  <si>
    <t>строительство (реконструкция), включая ПИР, ВСЕГО</t>
  </si>
  <si>
    <t>Кроме того, иные межбюджетные трансферты</t>
  </si>
  <si>
    <t>прочие неналоговые доходы</t>
  </si>
  <si>
    <t>Графы с "0" - это формулы, заполнются только свободные ячейки</t>
  </si>
  <si>
    <t>Заполняется в рублях и копейках</t>
  </si>
  <si>
    <t>Графы "Разница ОБ" и "Разница МБ" должны быть равны "0", иначе расхождения в цифрах!</t>
  </si>
  <si>
    <t>Обеспечение безопасности дорожного движения</t>
  </si>
  <si>
    <t>Безопасность дорожного движения</t>
  </si>
  <si>
    <t>Проверка проектно-сметной документации, экспертиза ремонта дорог</t>
  </si>
  <si>
    <t>Проведение мероприятий по обеспечению безопасности дорожного движения (приобретение и установка дорожных знаков)</t>
  </si>
  <si>
    <t>Зем. налог, безопасность дорожного движения, проверка смет и строительный контроль</t>
  </si>
  <si>
    <t>Нанесение дорожной разметки,проверка смет и выдача заключения по ремонту автомобильных дорог</t>
  </si>
  <si>
    <t>Проверка сметной документации</t>
  </si>
  <si>
    <t>Итоги</t>
  </si>
  <si>
    <t>городские поселения</t>
  </si>
  <si>
    <t>сельские поселения</t>
  </si>
  <si>
    <t>Безопасность дор. движения,  ПСД и экспертиза,  разработка техн. паспортов,  техн. надзор за работами</t>
  </si>
  <si>
    <t>Мероприятия по организации тех. надзора, разработка ПСД и экспертиза, мероприятия по безопасности дорожного движения</t>
  </si>
  <si>
    <t>Безопасность дорожного движения, проверка смет, налоги</t>
  </si>
  <si>
    <t>18.3 безопасность дорожного движения, 46.2 - тех. надзор, 8.9 - ПСД</t>
  </si>
  <si>
    <t>Составление и проверка смет, изготовление и установка дорожных знаков (53 шт.) и дорожных ограждений (72 секции0</t>
  </si>
  <si>
    <t>Разработка и проверка смет, техконтроль, дорожные знаки (17), анализ и оценка организации дорожного движения, комплексная схема организации дорожного движения</t>
  </si>
  <si>
    <t>Безопасность дорожного движения, ПСД, экспертиза, строительный контроль, техн. контроль, лаборат. иссл.</t>
  </si>
  <si>
    <t>1фд строка 06</t>
  </si>
  <si>
    <t>1фд строка 39</t>
  </si>
  <si>
    <t>1 фд строка 26</t>
  </si>
  <si>
    <t>1фд строка 04</t>
  </si>
  <si>
    <t>1 фд строка 05, строка 38  квр 600</t>
  </si>
  <si>
    <t>всего поселения</t>
  </si>
  <si>
    <r>
      <t xml:space="preserve">План на 2019 год </t>
    </r>
    <r>
      <rPr>
        <b/>
        <u val="single"/>
        <sz val="10"/>
        <color indexed="10"/>
        <rFont val="Arial"/>
        <family val="2"/>
      </rPr>
      <t>на 01.04.2019</t>
    </r>
  </si>
  <si>
    <t>План на 01.04.2019</t>
  </si>
  <si>
    <t>Факт на 01.04.2019</t>
  </si>
  <si>
    <t>План на 2019 год, в том числе</t>
  </si>
  <si>
    <t>поставить остатки 2018</t>
  </si>
  <si>
    <t>ост 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</si>
</sst>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172" fontId="59" fillId="33" borderId="10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4" fontId="60" fillId="0" borderId="11" xfId="0" applyNumberFormat="1" applyFont="1" applyFill="1" applyBorder="1" applyAlignment="1" applyProtection="1">
      <alignment vertical="center"/>
      <protection locked="0"/>
    </xf>
    <xf numFmtId="4" fontId="60" fillId="0" borderId="12" xfId="0" applyNumberFormat="1" applyFont="1" applyFill="1" applyBorder="1" applyAlignment="1" applyProtection="1">
      <alignment vertical="center"/>
      <protection locked="0"/>
    </xf>
    <xf numFmtId="4" fontId="60" fillId="0" borderId="13" xfId="0" applyNumberFormat="1" applyFont="1" applyFill="1" applyBorder="1" applyAlignment="1" applyProtection="1">
      <alignment vertical="center"/>
      <protection locked="0"/>
    </xf>
    <xf numFmtId="4" fontId="59" fillId="33" borderId="14" xfId="0" applyNumberFormat="1" applyFont="1" applyFill="1" applyBorder="1" applyAlignment="1" applyProtection="1">
      <alignment horizontal="right" vertical="center"/>
      <protection/>
    </xf>
    <xf numFmtId="4" fontId="59" fillId="33" borderId="11" xfId="0" applyNumberFormat="1" applyFont="1" applyFill="1" applyBorder="1" applyAlignment="1" applyProtection="1">
      <alignment vertical="center"/>
      <protection/>
    </xf>
    <xf numFmtId="4" fontId="60" fillId="3" borderId="11" xfId="0" applyNumberFormat="1" applyFont="1" applyFill="1" applyBorder="1" applyAlignment="1" applyProtection="1">
      <alignment vertical="center"/>
      <protection locked="0"/>
    </xf>
    <xf numFmtId="4" fontId="60" fillId="3" borderId="13" xfId="0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4" fontId="5" fillId="3" borderId="11" xfId="0" applyNumberFormat="1" applyFont="1" applyFill="1" applyBorder="1" applyAlignment="1" applyProtection="1">
      <alignment vertical="center"/>
      <protection locked="0"/>
    </xf>
    <xf numFmtId="4" fontId="60" fillId="0" borderId="11" xfId="0" applyNumberFormat="1" applyFont="1" applyBorder="1" applyAlignment="1" applyProtection="1">
      <alignment/>
      <protection locked="0"/>
    </xf>
    <xf numFmtId="4" fontId="60" fillId="3" borderId="11" xfId="0" applyNumberFormat="1" applyFont="1" applyFill="1" applyBorder="1" applyAlignment="1" applyProtection="1">
      <alignment/>
      <protection locked="0"/>
    </xf>
    <xf numFmtId="4" fontId="60" fillId="3" borderId="13" xfId="0" applyNumberFormat="1" applyFont="1" applyFill="1" applyBorder="1" applyAlignment="1" applyProtection="1">
      <alignment/>
      <protection locked="0"/>
    </xf>
    <xf numFmtId="4" fontId="60" fillId="0" borderId="11" xfId="0" applyNumberFormat="1" applyFont="1" applyFill="1" applyBorder="1" applyAlignment="1" applyProtection="1">
      <alignment/>
      <protection locked="0"/>
    </xf>
    <xf numFmtId="4" fontId="60" fillId="0" borderId="12" xfId="0" applyNumberFormat="1" applyFont="1" applyFill="1" applyBorder="1" applyAlignment="1" applyProtection="1">
      <alignment/>
      <protection locked="0"/>
    </xf>
    <xf numFmtId="4" fontId="60" fillId="0" borderId="13" xfId="0" applyNumberFormat="1" applyFont="1" applyBorder="1" applyAlignment="1" applyProtection="1">
      <alignment/>
      <protection locked="0"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  <protection locked="0"/>
    </xf>
    <xf numFmtId="4" fontId="60" fillId="0" borderId="13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6" fillId="3" borderId="11" xfId="0" applyNumberFormat="1" applyFont="1" applyFill="1" applyBorder="1" applyAlignment="1" applyProtection="1">
      <alignment vertical="center"/>
      <protection locked="0"/>
    </xf>
    <xf numFmtId="4" fontId="6" fillId="3" borderId="13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9" fillId="33" borderId="17" xfId="0" applyNumberFormat="1" applyFont="1" applyFill="1" applyBorder="1" applyAlignment="1" applyProtection="1">
      <alignment vertical="center"/>
      <protection/>
    </xf>
    <xf numFmtId="4" fontId="60" fillId="0" borderId="17" xfId="0" applyNumberFormat="1" applyFont="1" applyFill="1" applyBorder="1" applyAlignment="1" applyProtection="1">
      <alignment vertical="center"/>
      <protection locked="0"/>
    </xf>
    <xf numFmtId="4" fontId="60" fillId="0" borderId="18" xfId="0" applyNumberFormat="1" applyFont="1" applyFill="1" applyBorder="1" applyAlignment="1" applyProtection="1">
      <alignment vertical="center"/>
      <protection locked="0"/>
    </xf>
    <xf numFmtId="4" fontId="60" fillId="3" borderId="17" xfId="0" applyNumberFormat="1" applyFont="1" applyFill="1" applyBorder="1" applyAlignment="1" applyProtection="1">
      <alignment vertical="center"/>
      <protection locked="0"/>
    </xf>
    <xf numFmtId="4" fontId="60" fillId="3" borderId="19" xfId="0" applyNumberFormat="1" applyFont="1" applyFill="1" applyBorder="1" applyAlignment="1" applyProtection="1">
      <alignment vertical="center"/>
      <protection locked="0"/>
    </xf>
    <xf numFmtId="4" fontId="60" fillId="0" borderId="19" xfId="0" applyNumberFormat="1" applyFont="1" applyFill="1" applyBorder="1" applyAlignment="1" applyProtection="1">
      <alignment vertical="center"/>
      <protection locked="0"/>
    </xf>
    <xf numFmtId="4" fontId="61" fillId="33" borderId="14" xfId="0" applyNumberFormat="1" applyFont="1" applyFill="1" applyBorder="1" applyAlignment="1" applyProtection="1">
      <alignment horizontal="right" vertical="center"/>
      <protection/>
    </xf>
    <xf numFmtId="4" fontId="59" fillId="3" borderId="14" xfId="0" applyNumberFormat="1" applyFont="1" applyFill="1" applyBorder="1" applyAlignment="1" applyProtection="1">
      <alignment horizontal="right" vertical="center"/>
      <protection/>
    </xf>
    <xf numFmtId="4" fontId="61" fillId="3" borderId="14" xfId="0" applyNumberFormat="1" applyFont="1" applyFill="1" applyBorder="1" applyAlignment="1" applyProtection="1">
      <alignment horizontal="right" vertical="center"/>
      <protection/>
    </xf>
    <xf numFmtId="4" fontId="59" fillId="3" borderId="20" xfId="0" applyNumberFormat="1" applyFont="1" applyFill="1" applyBorder="1" applyAlignment="1" applyProtection="1">
      <alignment horizontal="right" vertical="center"/>
      <protection/>
    </xf>
    <xf numFmtId="4" fontId="62" fillId="5" borderId="11" xfId="0" applyNumberFormat="1" applyFont="1" applyFill="1" applyBorder="1" applyAlignment="1" applyProtection="1">
      <alignment vertical="center"/>
      <protection/>
    </xf>
    <xf numFmtId="4" fontId="62" fillId="5" borderId="17" xfId="0" applyNumberFormat="1" applyFont="1" applyFill="1" applyBorder="1" applyAlignment="1" applyProtection="1">
      <alignment vertical="center"/>
      <protection/>
    </xf>
    <xf numFmtId="4" fontId="63" fillId="33" borderId="14" xfId="0" applyNumberFormat="1" applyFont="1" applyFill="1" applyBorder="1" applyAlignment="1" applyProtection="1">
      <alignment horizontal="right" vertical="center"/>
      <protection/>
    </xf>
    <xf numFmtId="4" fontId="62" fillId="6" borderId="11" xfId="0" applyNumberFormat="1" applyFont="1" applyFill="1" applyBorder="1" applyAlignment="1" applyProtection="1">
      <alignment horizontal="right" vertical="center" wrapText="1"/>
      <protection/>
    </xf>
    <xf numFmtId="4" fontId="62" fillId="6" borderId="17" xfId="0" applyNumberFormat="1" applyFont="1" applyFill="1" applyBorder="1" applyAlignment="1" applyProtection="1">
      <alignment horizontal="right" vertical="center" wrapText="1"/>
      <protection/>
    </xf>
    <xf numFmtId="4" fontId="62" fillId="7" borderId="11" xfId="0" applyNumberFormat="1" applyFont="1" applyFill="1" applyBorder="1" applyAlignment="1" applyProtection="1">
      <alignment horizontal="right" vertical="center" wrapText="1"/>
      <protection/>
    </xf>
    <xf numFmtId="4" fontId="62" fillId="7" borderId="17" xfId="0" applyNumberFormat="1" applyFont="1" applyFill="1" applyBorder="1" applyAlignment="1" applyProtection="1">
      <alignment horizontal="right" vertical="center" wrapText="1"/>
      <protection/>
    </xf>
    <xf numFmtId="4" fontId="62" fillId="0" borderId="11" xfId="0" applyNumberFormat="1" applyFont="1" applyFill="1" applyBorder="1" applyAlignment="1" applyProtection="1">
      <alignment vertical="center"/>
      <protection/>
    </xf>
    <xf numFmtId="4" fontId="62" fillId="0" borderId="11" xfId="0" applyNumberFormat="1" applyFont="1" applyFill="1" applyBorder="1" applyAlignment="1" applyProtection="1">
      <alignment horizontal="right" vertical="center" wrapText="1"/>
      <protection/>
    </xf>
    <xf numFmtId="4" fontId="62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vertical="center"/>
      <protection/>
    </xf>
    <xf numFmtId="4" fontId="62" fillId="12" borderId="15" xfId="0" applyNumberFormat="1" applyFont="1" applyFill="1" applyBorder="1" applyAlignment="1" applyProtection="1">
      <alignment horizontal="right" vertical="center" wrapText="1"/>
      <protection/>
    </xf>
    <xf numFmtId="4" fontId="62" fillId="12" borderId="15" xfId="0" applyNumberFormat="1" applyFont="1" applyFill="1" applyBorder="1" applyAlignment="1" applyProtection="1">
      <alignment vertical="center" wrapText="1"/>
      <protection/>
    </xf>
    <xf numFmtId="4" fontId="62" fillId="12" borderId="15" xfId="0" applyNumberFormat="1" applyFont="1" applyFill="1" applyBorder="1" applyAlignment="1" applyProtection="1">
      <alignment vertical="center"/>
      <protection/>
    </xf>
    <xf numFmtId="4" fontId="62" fillId="12" borderId="16" xfId="0" applyNumberFormat="1" applyFont="1" applyFill="1" applyBorder="1" applyAlignment="1" applyProtection="1">
      <alignment horizontal="right" vertical="center" wrapText="1"/>
      <protection/>
    </xf>
    <xf numFmtId="4" fontId="59" fillId="12" borderId="14" xfId="0" applyNumberFormat="1" applyFont="1" applyFill="1" applyBorder="1" applyAlignment="1" applyProtection="1">
      <alignment horizontal="right" vertical="center"/>
      <protection/>
    </xf>
    <xf numFmtId="4" fontId="62" fillId="12" borderId="16" xfId="0" applyNumberFormat="1" applyFont="1" applyFill="1" applyBorder="1" applyAlignment="1" applyProtection="1">
      <alignment vertical="center"/>
      <protection/>
    </xf>
    <xf numFmtId="4" fontId="62" fillId="0" borderId="15" xfId="0" applyNumberFormat="1" applyFont="1" applyFill="1" applyBorder="1" applyAlignment="1" applyProtection="1">
      <alignment vertical="center"/>
      <protection/>
    </xf>
    <xf numFmtId="4" fontId="62" fillId="0" borderId="16" xfId="0" applyNumberFormat="1" applyFont="1" applyFill="1" applyBorder="1" applyAlignment="1" applyProtection="1">
      <alignment vertical="center"/>
      <protection/>
    </xf>
    <xf numFmtId="4" fontId="59" fillId="0" borderId="14" xfId="0" applyNumberFormat="1" applyFont="1" applyFill="1" applyBorder="1" applyAlignment="1" applyProtection="1">
      <alignment horizontal="right" vertical="center"/>
      <protection/>
    </xf>
    <xf numFmtId="4" fontId="62" fillId="0" borderId="15" xfId="0" applyNumberFormat="1" applyFont="1" applyFill="1" applyBorder="1" applyAlignment="1" applyProtection="1">
      <alignment horizontal="right" vertical="center" wrapText="1"/>
      <protection/>
    </xf>
    <xf numFmtId="4" fontId="62" fillId="0" borderId="15" xfId="0" applyNumberFormat="1" applyFont="1" applyFill="1" applyBorder="1" applyAlignment="1" applyProtection="1">
      <alignment vertical="center" wrapText="1"/>
      <protection/>
    </xf>
    <xf numFmtId="4" fontId="62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vertical="center"/>
      <protection locked="0"/>
    </xf>
    <xf numFmtId="4" fontId="59" fillId="33" borderId="21" xfId="0" applyNumberFormat="1" applyFont="1" applyFill="1" applyBorder="1" applyAlignment="1" applyProtection="1">
      <alignment horizontal="right" vertical="center"/>
      <protection/>
    </xf>
    <xf numFmtId="4" fontId="59" fillId="12" borderId="21" xfId="0" applyNumberFormat="1" applyFont="1" applyFill="1" applyBorder="1" applyAlignment="1" applyProtection="1">
      <alignment horizontal="right" vertical="center"/>
      <protection/>
    </xf>
    <xf numFmtId="172" fontId="64" fillId="33" borderId="22" xfId="0" applyNumberFormat="1" applyFont="1" applyFill="1" applyBorder="1" applyAlignment="1" applyProtection="1">
      <alignment vertical="center" wrapText="1"/>
      <protection locked="0"/>
    </xf>
    <xf numFmtId="172" fontId="8" fillId="33" borderId="22" xfId="0" applyNumberFormat="1" applyFont="1" applyFill="1" applyBorder="1" applyAlignment="1" applyProtection="1">
      <alignment vertical="center" wrapText="1"/>
      <protection locked="0"/>
    </xf>
    <xf numFmtId="172" fontId="64" fillId="33" borderId="22" xfId="0" applyNumberFormat="1" applyFont="1" applyFill="1" applyBorder="1" applyAlignment="1" applyProtection="1">
      <alignment wrapText="1"/>
      <protection locked="0"/>
    </xf>
    <xf numFmtId="172" fontId="64" fillId="33" borderId="2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57" fillId="0" borderId="0" xfId="0" applyNumberFormat="1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172" fontId="64" fillId="33" borderId="24" xfId="0" applyNumberFormat="1" applyFont="1" applyFill="1" applyBorder="1" applyAlignment="1" applyProtection="1">
      <alignment wrapText="1"/>
      <protection locked="0"/>
    </xf>
    <xf numFmtId="172" fontId="59" fillId="0" borderId="0" xfId="0" applyNumberFormat="1" applyFont="1" applyAlignment="1" applyProtection="1">
      <alignment/>
      <protection locked="0"/>
    </xf>
    <xf numFmtId="0" fontId="9" fillId="34" borderId="25" xfId="0" applyFont="1" applyFill="1" applyBorder="1" applyAlignment="1" applyProtection="1">
      <alignment horizontal="left" vertical="center" wrapText="1"/>
      <protection locked="0"/>
    </xf>
    <xf numFmtId="4" fontId="57" fillId="34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12" borderId="11" xfId="0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57" fillId="0" borderId="0" xfId="0" applyNumberFormat="1" applyFon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64" fillId="0" borderId="0" xfId="0" applyFont="1" applyAlignment="1" applyProtection="1">
      <alignment wrapText="1"/>
      <protection locked="0"/>
    </xf>
    <xf numFmtId="0" fontId="0" fillId="33" borderId="0" xfId="0" applyFill="1" applyAlignment="1" applyProtection="1">
      <alignment/>
      <protection locked="0"/>
    </xf>
    <xf numFmtId="172" fontId="57" fillId="33" borderId="0" xfId="0" applyNumberFormat="1" applyFont="1" applyFill="1" applyAlignment="1" applyProtection="1">
      <alignment/>
      <protection locked="0"/>
    </xf>
    <xf numFmtId="4" fontId="57" fillId="33" borderId="0" xfId="0" applyNumberFormat="1" applyFont="1" applyFill="1" applyAlignment="1" applyProtection="1">
      <alignment/>
      <protection locked="0"/>
    </xf>
    <xf numFmtId="172" fontId="0" fillId="3" borderId="0" xfId="0" applyNumberFormat="1" applyFill="1" applyAlignment="1" applyProtection="1">
      <alignment/>
      <protection locked="0"/>
    </xf>
    <xf numFmtId="172" fontId="6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57" fillId="0" borderId="0" xfId="0" applyFont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66" fillId="35" borderId="0" xfId="0" applyFont="1" applyFill="1" applyAlignment="1" applyProtection="1">
      <alignment/>
      <protection locked="0"/>
    </xf>
    <xf numFmtId="0" fontId="67" fillId="35" borderId="0" xfId="0" applyFont="1" applyFill="1" applyAlignment="1" applyProtection="1">
      <alignment/>
      <protection locked="0"/>
    </xf>
    <xf numFmtId="4" fontId="66" fillId="35" borderId="0" xfId="0" applyNumberFormat="1" applyFont="1" applyFill="1" applyAlignment="1" applyProtection="1">
      <alignment/>
      <protection locked="0"/>
    </xf>
    <xf numFmtId="4" fontId="67" fillId="35" borderId="0" xfId="0" applyNumberFormat="1" applyFont="1" applyFill="1" applyAlignment="1" applyProtection="1">
      <alignment/>
      <protection locked="0"/>
    </xf>
    <xf numFmtId="4" fontId="0" fillId="35" borderId="0" xfId="0" applyNumberFormat="1" applyFill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" fontId="57" fillId="0" borderId="15" xfId="0" applyNumberFormat="1" applyFont="1" applyFill="1" applyBorder="1" applyAlignment="1" applyProtection="1">
      <alignment/>
      <protection locked="0"/>
    </xf>
    <xf numFmtId="4" fontId="57" fillId="0" borderId="11" xfId="0" applyNumberFormat="1" applyFont="1" applyFill="1" applyBorder="1" applyAlignment="1" applyProtection="1">
      <alignment/>
      <protection locked="0"/>
    </xf>
    <xf numFmtId="4" fontId="57" fillId="12" borderId="11" xfId="0" applyNumberFormat="1" applyFont="1" applyFill="1" applyBorder="1" applyAlignment="1" applyProtection="1">
      <alignment/>
      <protection locked="0"/>
    </xf>
    <xf numFmtId="4" fontId="37" fillId="0" borderId="11" xfId="0" applyNumberFormat="1" applyFont="1" applyFill="1" applyBorder="1" applyAlignment="1" applyProtection="1">
      <alignment/>
      <protection locked="0"/>
    </xf>
    <xf numFmtId="0" fontId="57" fillId="0" borderId="15" xfId="0" applyFont="1" applyFill="1" applyBorder="1" applyAlignment="1" applyProtection="1">
      <alignment/>
      <protection locked="0"/>
    </xf>
    <xf numFmtId="0" fontId="57" fillId="0" borderId="11" xfId="0" applyFont="1" applyFill="1" applyBorder="1" applyAlignment="1" applyProtection="1">
      <alignment/>
      <protection locked="0"/>
    </xf>
    <xf numFmtId="0" fontId="57" fillId="12" borderId="11" xfId="0" applyFont="1" applyFill="1" applyBorder="1" applyAlignment="1" applyProtection="1">
      <alignment/>
      <protection locked="0"/>
    </xf>
    <xf numFmtId="0" fontId="37" fillId="0" borderId="11" xfId="0" applyFont="1" applyFill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57" fillId="0" borderId="11" xfId="0" applyNumberFormat="1" applyFont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" fontId="59" fillId="33" borderId="15" xfId="0" applyNumberFormat="1" applyFont="1" applyFill="1" applyBorder="1" applyAlignment="1" applyProtection="1">
      <alignment vertical="center"/>
      <protection/>
    </xf>
    <xf numFmtId="4" fontId="60" fillId="3" borderId="15" xfId="0" applyNumberFormat="1" applyFont="1" applyFill="1" applyBorder="1" applyAlignment="1" applyProtection="1">
      <alignment vertical="center"/>
      <protection/>
    </xf>
    <xf numFmtId="4" fontId="60" fillId="3" borderId="11" xfId="0" applyNumberFormat="1" applyFont="1" applyFill="1" applyBorder="1" applyAlignment="1" applyProtection="1">
      <alignment vertical="center"/>
      <protection/>
    </xf>
    <xf numFmtId="4" fontId="60" fillId="3" borderId="13" xfId="0" applyNumberFormat="1" applyFont="1" applyFill="1" applyBorder="1" applyAlignment="1" applyProtection="1">
      <alignment vertical="center"/>
      <protection/>
    </xf>
    <xf numFmtId="4" fontId="60" fillId="33" borderId="11" xfId="0" applyNumberFormat="1" applyFont="1" applyFill="1" applyBorder="1" applyAlignment="1" applyProtection="1">
      <alignment vertical="center"/>
      <protection/>
    </xf>
    <xf numFmtId="4" fontId="5" fillId="3" borderId="15" xfId="0" applyNumberFormat="1" applyFont="1" applyFill="1" applyBorder="1" applyAlignment="1" applyProtection="1">
      <alignment vertical="center"/>
      <protection/>
    </xf>
    <xf numFmtId="4" fontId="60" fillId="3" borderId="15" xfId="0" applyNumberFormat="1" applyFont="1" applyFill="1" applyBorder="1" applyAlignment="1" applyProtection="1">
      <alignment/>
      <protection/>
    </xf>
    <xf numFmtId="4" fontId="60" fillId="3" borderId="11" xfId="0" applyNumberFormat="1" applyFont="1" applyFill="1" applyBorder="1" applyAlignment="1" applyProtection="1">
      <alignment/>
      <protection/>
    </xf>
    <xf numFmtId="4" fontId="59" fillId="33" borderId="16" xfId="0" applyNumberFormat="1" applyFont="1" applyFill="1" applyBorder="1" applyAlignment="1" applyProtection="1">
      <alignment vertical="center"/>
      <protection/>
    </xf>
    <xf numFmtId="4" fontId="5" fillId="3" borderId="16" xfId="0" applyNumberFormat="1" applyFont="1" applyFill="1" applyBorder="1" applyAlignment="1" applyProtection="1">
      <alignment vertical="center"/>
      <protection/>
    </xf>
    <xf numFmtId="4" fontId="60" fillId="3" borderId="17" xfId="0" applyNumberFormat="1" applyFont="1" applyFill="1" applyBorder="1" applyAlignment="1" applyProtection="1">
      <alignment vertical="center"/>
      <protection/>
    </xf>
    <xf numFmtId="4" fontId="60" fillId="0" borderId="11" xfId="0" applyNumberFormat="1" applyFont="1" applyFill="1" applyBorder="1" applyAlignment="1" applyProtection="1">
      <alignment vertical="center"/>
      <protection/>
    </xf>
    <xf numFmtId="4" fontId="60" fillId="33" borderId="15" xfId="0" applyNumberFormat="1" applyFont="1" applyFill="1" applyBorder="1" applyAlignment="1" applyProtection="1">
      <alignment vertical="center"/>
      <protection/>
    </xf>
    <xf numFmtId="4" fontId="60" fillId="33" borderId="15" xfId="0" applyNumberFormat="1" applyFont="1" applyFill="1" applyBorder="1" applyAlignment="1" applyProtection="1">
      <alignment/>
      <protection/>
    </xf>
    <xf numFmtId="4" fontId="60" fillId="33" borderId="16" xfId="0" applyNumberFormat="1" applyFont="1" applyFill="1" applyBorder="1" applyAlignment="1" applyProtection="1">
      <alignment vertical="center"/>
      <protection/>
    </xf>
    <xf numFmtId="4" fontId="60" fillId="0" borderId="11" xfId="0" applyNumberFormat="1" applyFont="1" applyFill="1" applyBorder="1" applyAlignment="1" applyProtection="1">
      <alignment/>
      <protection/>
    </xf>
    <xf numFmtId="4" fontId="60" fillId="0" borderId="17" xfId="0" applyNumberFormat="1" applyFont="1" applyFill="1" applyBorder="1" applyAlignment="1" applyProtection="1">
      <alignment vertical="center"/>
      <protection/>
    </xf>
    <xf numFmtId="4" fontId="60" fillId="33" borderId="26" xfId="0" applyNumberFormat="1" applyFont="1" applyFill="1" applyBorder="1" applyAlignment="1" applyProtection="1">
      <alignment vertical="center"/>
      <protection/>
    </xf>
    <xf numFmtId="4" fontId="60" fillId="33" borderId="26" xfId="0" applyNumberFormat="1" applyFont="1" applyFill="1" applyBorder="1" applyAlignment="1" applyProtection="1">
      <alignment/>
      <protection/>
    </xf>
    <xf numFmtId="4" fontId="60" fillId="33" borderId="27" xfId="0" applyNumberFormat="1" applyFont="1" applyFill="1" applyBorder="1" applyAlignment="1" applyProtection="1">
      <alignment vertical="center"/>
      <protection/>
    </xf>
    <xf numFmtId="4" fontId="60" fillId="0" borderId="11" xfId="0" applyNumberFormat="1" applyFont="1" applyBorder="1" applyAlignment="1" applyProtection="1">
      <alignment/>
      <protection/>
    </xf>
    <xf numFmtId="4" fontId="60" fillId="3" borderId="26" xfId="0" applyNumberFormat="1" applyFont="1" applyFill="1" applyBorder="1" applyAlignment="1" applyProtection="1">
      <alignment vertical="center"/>
      <protection/>
    </xf>
    <xf numFmtId="4" fontId="60" fillId="3" borderId="26" xfId="0" applyNumberFormat="1" applyFont="1" applyFill="1" applyBorder="1" applyAlignment="1" applyProtection="1">
      <alignment/>
      <protection/>
    </xf>
    <xf numFmtId="4" fontId="60" fillId="3" borderId="27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0" fontId="3" fillId="12" borderId="11" xfId="0" applyFont="1" applyFill="1" applyBorder="1" applyAlignment="1" applyProtection="1">
      <alignment horizontal="center" vertical="center" wrapText="1"/>
      <protection locked="0"/>
    </xf>
    <xf numFmtId="0" fontId="3" fillId="12" borderId="15" xfId="0" applyFont="1" applyFill="1" applyBorder="1" applyAlignment="1" applyProtection="1">
      <alignment horizontal="center" vertical="center" wrapText="1"/>
      <protection locked="0"/>
    </xf>
    <xf numFmtId="0" fontId="68" fillId="7" borderId="11" xfId="0" applyFont="1" applyFill="1" applyBorder="1" applyAlignment="1" applyProtection="1">
      <alignment horizontal="center" vertical="center" wrapText="1"/>
      <protection locked="0"/>
    </xf>
    <xf numFmtId="4" fontId="69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68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7" borderId="12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0" fontId="70" fillId="7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12" borderId="15" xfId="0" applyFont="1" applyFill="1" applyBorder="1" applyAlignment="1" applyProtection="1">
      <alignment horizontal="center" vertical="center" wrapText="1"/>
      <protection locked="0"/>
    </xf>
    <xf numFmtId="0" fontId="71" fillId="33" borderId="15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 wrapText="1"/>
      <protection locked="0"/>
    </xf>
    <xf numFmtId="0" fontId="70" fillId="37" borderId="11" xfId="0" applyFont="1" applyFill="1" applyBorder="1" applyAlignment="1" applyProtection="1">
      <alignment horizontal="center" vertical="center" wrapText="1"/>
      <protection locked="0"/>
    </xf>
    <xf numFmtId="4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70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3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3" xfId="0" applyNumberFormat="1" applyFont="1" applyFill="1" applyBorder="1" applyAlignment="1" applyProtection="1">
      <alignment horizontal="center" vertical="center" wrapText="1"/>
      <protection locked="0"/>
    </xf>
    <xf numFmtId="172" fontId="70" fillId="37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7" fillId="37" borderId="2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172" fontId="59" fillId="33" borderId="34" xfId="0" applyNumberFormat="1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0" fontId="68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35" xfId="0" applyNumberFormat="1" applyFont="1" applyBorder="1" applyAlignment="1" applyProtection="1">
      <alignment horizontal="center" vertical="center" wrapText="1"/>
      <protection locked="0"/>
    </xf>
    <xf numFmtId="4" fontId="3" fillId="0" borderId="36" xfId="0" applyNumberFormat="1" applyFont="1" applyBorder="1" applyAlignment="1" applyProtection="1">
      <alignment horizontal="center" vertical="center" wrapText="1"/>
      <protection locked="0"/>
    </xf>
    <xf numFmtId="4" fontId="3" fillId="0" borderId="37" xfId="0" applyNumberFormat="1" applyFont="1" applyBorder="1" applyAlignment="1" applyProtection="1">
      <alignment horizontal="center" vertical="center" wrapText="1"/>
      <protection locked="0"/>
    </xf>
    <xf numFmtId="4" fontId="3" fillId="0" borderId="38" xfId="0" applyNumberFormat="1" applyFont="1" applyBorder="1" applyAlignment="1" applyProtection="1">
      <alignment horizontal="center" vertical="center" wrapText="1"/>
      <protection locked="0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4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4" fillId="37" borderId="33" xfId="0" applyFont="1" applyFill="1" applyBorder="1" applyAlignment="1" applyProtection="1">
      <alignment horizontal="center" vertical="center" wrapText="1"/>
      <protection locked="0"/>
    </xf>
    <xf numFmtId="0" fontId="4" fillId="37" borderId="15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92D05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2"/>
  <sheetViews>
    <sheetView tabSelected="1" zoomScaleSheetLayoutView="80" zoomScalePageLayoutView="0" workbookViewId="0" topLeftCell="A1">
      <pane xSplit="1" ySplit="5" topLeftCell="BR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Z20" sqref="BZ20"/>
    </sheetView>
  </sheetViews>
  <sheetFormatPr defaultColWidth="9.140625" defaultRowHeight="15" outlineLevelRow="1" outlineLevelCol="1"/>
  <cols>
    <col min="1" max="1" width="22.57421875" style="79" customWidth="1"/>
    <col min="2" max="2" width="2.57421875" style="79" customWidth="1"/>
    <col min="3" max="3" width="16.00390625" style="75" hidden="1" customWidth="1" outlineLevel="1"/>
    <col min="4" max="4" width="15.00390625" style="74" hidden="1" customWidth="1" outlineLevel="1"/>
    <col min="5" max="5" width="15.28125" style="74" hidden="1" customWidth="1" outlineLevel="1"/>
    <col min="6" max="6" width="15.00390625" style="74" hidden="1" customWidth="1" outlineLevel="1"/>
    <col min="7" max="7" width="14.140625" style="88" hidden="1" customWidth="1" outlineLevel="1"/>
    <col min="8" max="8" width="15.00390625" style="88" hidden="1" customWidth="1" outlineLevel="1"/>
    <col min="9" max="9" width="2.28125" style="74" customWidth="1" collapsed="1"/>
    <col min="10" max="10" width="14.7109375" style="74" hidden="1" customWidth="1" outlineLevel="1"/>
    <col min="11" max="11" width="14.140625" style="74" hidden="1" customWidth="1" outlineLevel="1"/>
    <col min="12" max="12" width="15.28125" style="74" hidden="1" customWidth="1" outlineLevel="1"/>
    <col min="13" max="14" width="15.140625" style="88" hidden="1" customWidth="1" outlineLevel="1"/>
    <col min="15" max="15" width="2.57421875" style="74" customWidth="1" collapsed="1"/>
    <col min="16" max="16" width="16.00390625" style="89" customWidth="1"/>
    <col min="17" max="17" width="16.421875" style="89" customWidth="1"/>
    <col min="18" max="18" width="15.7109375" style="89" customWidth="1" outlineLevel="1"/>
    <col min="19" max="19" width="15.57421875" style="90" customWidth="1" outlineLevel="1"/>
    <col min="20" max="20" width="15.421875" style="89" customWidth="1" outlineLevel="1"/>
    <col min="21" max="21" width="16.57421875" style="90" customWidth="1" outlineLevel="1"/>
    <col min="22" max="22" width="16.28125" style="89" customWidth="1"/>
    <col min="23" max="23" width="15.140625" style="89" customWidth="1"/>
    <col min="24" max="24" width="14.7109375" style="89" customWidth="1"/>
    <col min="25" max="25" width="14.7109375" style="89" customWidth="1" outlineLevel="1"/>
    <col min="26" max="26" width="16.28125" style="90" customWidth="1" outlineLevel="1"/>
    <col min="27" max="27" width="17.00390625" style="89" customWidth="1" outlineLevel="1"/>
    <col min="28" max="28" width="15.57421875" style="90" customWidth="1" outlineLevel="1"/>
    <col min="29" max="29" width="15.28125" style="89" customWidth="1"/>
    <col min="30" max="30" width="16.28125" style="91" customWidth="1"/>
    <col min="31" max="31" width="13.7109375" style="91" customWidth="1"/>
    <col min="32" max="32" width="14.421875" style="91" customWidth="1"/>
    <col min="33" max="33" width="13.7109375" style="91" customWidth="1"/>
    <col min="34" max="34" width="14.7109375" style="91" customWidth="1"/>
    <col min="35" max="35" width="14.28125" style="91" customWidth="1"/>
    <col min="36" max="36" width="15.8515625" style="79" customWidth="1" outlineLevel="1"/>
    <col min="37" max="37" width="14.28125" style="79" customWidth="1" outlineLevel="1"/>
    <col min="38" max="38" width="14.7109375" style="79" customWidth="1" outlineLevel="1"/>
    <col min="39" max="40" width="14.140625" style="79" customWidth="1" outlineLevel="1"/>
    <col min="41" max="41" width="14.28125" style="79" customWidth="1" outlineLevel="1"/>
    <col min="42" max="43" width="13.28125" style="79" customWidth="1" outlineLevel="1"/>
    <col min="44" max="44" width="12.8515625" style="79" customWidth="1" outlineLevel="1"/>
    <col min="45" max="45" width="8.7109375" style="79" customWidth="1" outlineLevel="1"/>
    <col min="46" max="46" width="7.28125" style="79" customWidth="1" outlineLevel="1"/>
    <col min="47" max="47" width="7.140625" style="79" customWidth="1" outlineLevel="1"/>
    <col min="48" max="48" width="15.421875" style="91" customWidth="1"/>
    <col min="49" max="49" width="14.8515625" style="91" customWidth="1"/>
    <col min="50" max="50" width="14.7109375" style="91" customWidth="1"/>
    <col min="51" max="51" width="15.140625" style="91" customWidth="1"/>
    <col min="52" max="52" width="15.28125" style="91" customWidth="1"/>
    <col min="53" max="53" width="15.7109375" style="91" customWidth="1"/>
    <col min="54" max="54" width="8.140625" style="79" customWidth="1" outlineLevel="1"/>
    <col min="55" max="55" width="6.28125" style="79" customWidth="1" outlineLevel="1"/>
    <col min="56" max="56" width="5.28125" style="79" customWidth="1" outlineLevel="1"/>
    <col min="57" max="57" width="7.8515625" style="79" customWidth="1" outlineLevel="1"/>
    <col min="58" max="58" width="4.7109375" style="79" customWidth="1" outlineLevel="1"/>
    <col min="59" max="59" width="5.28125" style="79" customWidth="1" outlineLevel="1"/>
    <col min="60" max="60" width="14.7109375" style="79" customWidth="1" outlineLevel="1"/>
    <col min="61" max="61" width="13.7109375" style="79" customWidth="1" outlineLevel="1"/>
    <col min="62" max="62" width="15.7109375" style="79" customWidth="1" outlineLevel="1"/>
    <col min="63" max="63" width="15.28125" style="79" customWidth="1" outlineLevel="1"/>
    <col min="64" max="64" width="14.421875" style="79" customWidth="1" outlineLevel="1"/>
    <col min="65" max="65" width="15.140625" style="79" customWidth="1" outlineLevel="1"/>
    <col min="66" max="66" width="14.7109375" style="91" customWidth="1"/>
    <col min="67" max="67" width="13.7109375" style="91" customWidth="1"/>
    <col min="68" max="68" width="16.28125" style="91" customWidth="1"/>
    <col min="69" max="69" width="14.28125" style="91" customWidth="1"/>
    <col min="70" max="70" width="13.57421875" style="91" customWidth="1"/>
    <col min="71" max="71" width="13.7109375" style="91" customWidth="1"/>
    <col min="72" max="72" width="14.7109375" style="91" customWidth="1"/>
    <col min="73" max="73" width="13.7109375" style="91" customWidth="1"/>
    <col min="74" max="74" width="17.28125" style="91" customWidth="1"/>
    <col min="75" max="75" width="14.8515625" style="91" customWidth="1"/>
    <col min="76" max="76" width="12.7109375" style="91" customWidth="1"/>
    <col min="77" max="77" width="16.57421875" style="91" customWidth="1"/>
    <col min="78" max="78" width="14.7109375" style="79" customWidth="1" outlineLevel="1"/>
    <col min="79" max="79" width="13.8515625" style="79" customWidth="1" outlineLevel="1"/>
    <col min="80" max="80" width="16.421875" style="79" customWidth="1" outlineLevel="1"/>
    <col min="81" max="81" width="15.140625" style="79" customWidth="1" outlineLevel="1"/>
    <col min="82" max="82" width="13.7109375" style="79" customWidth="1" outlineLevel="1"/>
    <col min="83" max="83" width="16.28125" style="79" customWidth="1" outlineLevel="1"/>
    <col min="84" max="84" width="13.421875" style="79" customWidth="1" outlineLevel="1"/>
    <col min="85" max="85" width="11.7109375" style="79" customWidth="1" outlineLevel="1"/>
    <col min="86" max="86" width="15.421875" style="79" customWidth="1" outlineLevel="1"/>
    <col min="87" max="87" width="14.28125" style="79" customWidth="1" outlineLevel="1"/>
    <col min="88" max="88" width="12.140625" style="79" customWidth="1" outlineLevel="1"/>
    <col min="89" max="89" width="14.8515625" style="79" customWidth="1" outlineLevel="1"/>
    <col min="90" max="90" width="47.140625" style="92" customWidth="1" outlineLevel="1"/>
    <col min="91" max="91" width="12.28125" style="79" customWidth="1"/>
    <col min="92" max="16384" width="8.8515625" style="79" customWidth="1"/>
  </cols>
  <sheetData>
    <row r="1" spans="1:90" s="74" customFormat="1" ht="15.75" thickBot="1">
      <c r="A1" s="118"/>
      <c r="B1" s="118"/>
      <c r="C1" s="75"/>
      <c r="P1" s="76"/>
      <c r="Q1" s="76"/>
      <c r="R1" s="76"/>
      <c r="S1" s="77"/>
      <c r="T1" s="76"/>
      <c r="U1" s="77"/>
      <c r="V1" s="76"/>
      <c r="W1" s="76"/>
      <c r="X1" s="76"/>
      <c r="Y1" s="76"/>
      <c r="Z1" s="77"/>
      <c r="AA1" s="76"/>
      <c r="AB1" s="77"/>
      <c r="AC1" s="76"/>
      <c r="CL1" s="78"/>
    </row>
    <row r="2" spans="1:90" ht="24" customHeight="1" thickBot="1">
      <c r="A2" s="229" t="s">
        <v>27</v>
      </c>
      <c r="B2" s="198"/>
      <c r="C2" s="209" t="s">
        <v>30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47"/>
      <c r="P2" s="210" t="s">
        <v>28</v>
      </c>
      <c r="Q2" s="211"/>
      <c r="R2" s="211"/>
      <c r="S2" s="211"/>
      <c r="T2" s="211"/>
      <c r="U2" s="211"/>
      <c r="V2" s="211"/>
      <c r="W2" s="211"/>
      <c r="X2" s="211"/>
      <c r="Y2" s="212"/>
      <c r="Z2" s="212"/>
      <c r="AA2" s="212"/>
      <c r="AB2" s="212"/>
      <c r="AC2" s="213"/>
      <c r="AD2" s="231" t="s">
        <v>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2"/>
    </row>
    <row r="3" spans="1:90" ht="27.75" customHeight="1" thickBot="1">
      <c r="A3" s="230"/>
      <c r="B3" s="199"/>
      <c r="C3" s="209"/>
      <c r="D3" s="246" t="s">
        <v>74</v>
      </c>
      <c r="E3" s="247"/>
      <c r="F3" s="247"/>
      <c r="G3" s="248"/>
      <c r="H3" s="148"/>
      <c r="I3" s="148"/>
      <c r="J3" s="246" t="s">
        <v>75</v>
      </c>
      <c r="K3" s="247"/>
      <c r="L3" s="247"/>
      <c r="M3" s="248"/>
      <c r="N3" s="149"/>
      <c r="O3" s="149"/>
      <c r="P3" s="214"/>
      <c r="Q3" s="215"/>
      <c r="R3" s="215"/>
      <c r="S3" s="215"/>
      <c r="T3" s="215"/>
      <c r="U3" s="215"/>
      <c r="V3" s="215"/>
      <c r="W3" s="215"/>
      <c r="X3" s="215"/>
      <c r="Y3" s="216"/>
      <c r="Z3" s="216"/>
      <c r="AA3" s="216"/>
      <c r="AB3" s="216"/>
      <c r="AC3" s="217"/>
      <c r="AD3" s="233" t="s">
        <v>44</v>
      </c>
      <c r="AE3" s="234"/>
      <c r="AF3" s="234"/>
      <c r="AG3" s="234"/>
      <c r="AH3" s="234"/>
      <c r="AI3" s="235"/>
      <c r="AJ3" s="242" t="s">
        <v>38</v>
      </c>
      <c r="AK3" s="226"/>
      <c r="AL3" s="226"/>
      <c r="AM3" s="226"/>
      <c r="AN3" s="226"/>
      <c r="AO3" s="227"/>
      <c r="AP3" s="242" t="s">
        <v>39</v>
      </c>
      <c r="AQ3" s="226"/>
      <c r="AR3" s="226"/>
      <c r="AS3" s="226"/>
      <c r="AT3" s="226"/>
      <c r="AU3" s="227"/>
      <c r="AV3" s="236" t="s">
        <v>43</v>
      </c>
      <c r="AW3" s="234"/>
      <c r="AX3" s="234"/>
      <c r="AY3" s="234"/>
      <c r="AZ3" s="234"/>
      <c r="BA3" s="235"/>
      <c r="BB3" s="225" t="s">
        <v>23</v>
      </c>
      <c r="BC3" s="226"/>
      <c r="BD3" s="226"/>
      <c r="BE3" s="226"/>
      <c r="BF3" s="226"/>
      <c r="BG3" s="227"/>
      <c r="BH3" s="225" t="s">
        <v>24</v>
      </c>
      <c r="BI3" s="226"/>
      <c r="BJ3" s="226"/>
      <c r="BK3" s="226"/>
      <c r="BL3" s="226"/>
      <c r="BM3" s="227"/>
      <c r="BN3" s="236" t="s">
        <v>41</v>
      </c>
      <c r="BO3" s="234"/>
      <c r="BP3" s="234"/>
      <c r="BQ3" s="234"/>
      <c r="BR3" s="234"/>
      <c r="BS3" s="235"/>
      <c r="BT3" s="236" t="s">
        <v>42</v>
      </c>
      <c r="BU3" s="234"/>
      <c r="BV3" s="234"/>
      <c r="BW3" s="234"/>
      <c r="BX3" s="234"/>
      <c r="BY3" s="235"/>
      <c r="BZ3" s="225" t="s">
        <v>1</v>
      </c>
      <c r="CA3" s="226"/>
      <c r="CB3" s="226"/>
      <c r="CC3" s="226"/>
      <c r="CD3" s="226"/>
      <c r="CE3" s="227"/>
      <c r="CF3" s="218" t="s">
        <v>26</v>
      </c>
      <c r="CG3" s="219"/>
      <c r="CH3" s="219"/>
      <c r="CI3" s="219"/>
      <c r="CJ3" s="219"/>
      <c r="CK3" s="219"/>
      <c r="CL3" s="220"/>
    </row>
    <row r="4" spans="1:90" s="80" customFormat="1" ht="40.5" customHeight="1">
      <c r="A4" s="230"/>
      <c r="B4" s="199"/>
      <c r="C4" s="209"/>
      <c r="D4" s="150" t="s">
        <v>20</v>
      </c>
      <c r="E4" s="151" t="s">
        <v>31</v>
      </c>
      <c r="F4" s="150" t="s">
        <v>32</v>
      </c>
      <c r="G4" s="152" t="s">
        <v>45</v>
      </c>
      <c r="H4" s="153" t="s">
        <v>46</v>
      </c>
      <c r="I4" s="150"/>
      <c r="J4" s="150" t="s">
        <v>20</v>
      </c>
      <c r="K4" s="151" t="s">
        <v>31</v>
      </c>
      <c r="L4" s="150" t="s">
        <v>32</v>
      </c>
      <c r="M4" s="152" t="s">
        <v>45</v>
      </c>
      <c r="N4" s="153" t="s">
        <v>46</v>
      </c>
      <c r="O4" s="150"/>
      <c r="P4" s="237" t="s">
        <v>76</v>
      </c>
      <c r="Q4" s="238"/>
      <c r="R4" s="238"/>
      <c r="S4" s="238"/>
      <c r="T4" s="238"/>
      <c r="U4" s="238"/>
      <c r="V4" s="238"/>
      <c r="W4" s="215" t="s">
        <v>75</v>
      </c>
      <c r="X4" s="215"/>
      <c r="Y4" s="216"/>
      <c r="Z4" s="216"/>
      <c r="AA4" s="216"/>
      <c r="AB4" s="216"/>
      <c r="AC4" s="217"/>
      <c r="AD4" s="251" t="s">
        <v>76</v>
      </c>
      <c r="AE4" s="224"/>
      <c r="AF4" s="224"/>
      <c r="AG4" s="224" t="s">
        <v>75</v>
      </c>
      <c r="AH4" s="224"/>
      <c r="AI4" s="228"/>
      <c r="AJ4" s="208" t="s">
        <v>76</v>
      </c>
      <c r="AK4" s="208"/>
      <c r="AL4" s="208"/>
      <c r="AM4" s="223" t="s">
        <v>75</v>
      </c>
      <c r="AN4" s="223"/>
      <c r="AO4" s="223"/>
      <c r="AP4" s="208" t="s">
        <v>76</v>
      </c>
      <c r="AQ4" s="208"/>
      <c r="AR4" s="208"/>
      <c r="AS4" s="223" t="s">
        <v>75</v>
      </c>
      <c r="AT4" s="223"/>
      <c r="AU4" s="223"/>
      <c r="AV4" s="224" t="s">
        <v>76</v>
      </c>
      <c r="AW4" s="224"/>
      <c r="AX4" s="224"/>
      <c r="AY4" s="224" t="s">
        <v>75</v>
      </c>
      <c r="AZ4" s="224"/>
      <c r="BA4" s="224"/>
      <c r="BB4" s="208" t="s">
        <v>76</v>
      </c>
      <c r="BC4" s="208"/>
      <c r="BD4" s="208"/>
      <c r="BE4" s="223" t="s">
        <v>75</v>
      </c>
      <c r="BF4" s="223"/>
      <c r="BG4" s="223"/>
      <c r="BH4" s="208" t="s">
        <v>76</v>
      </c>
      <c r="BI4" s="208"/>
      <c r="BJ4" s="208"/>
      <c r="BK4" s="223" t="s">
        <v>75</v>
      </c>
      <c r="BL4" s="223"/>
      <c r="BM4" s="223"/>
      <c r="BN4" s="224" t="s">
        <v>76</v>
      </c>
      <c r="BO4" s="224"/>
      <c r="BP4" s="224"/>
      <c r="BQ4" s="224" t="s">
        <v>75</v>
      </c>
      <c r="BR4" s="224"/>
      <c r="BS4" s="224"/>
      <c r="BT4" s="224" t="s">
        <v>76</v>
      </c>
      <c r="BU4" s="224"/>
      <c r="BV4" s="224"/>
      <c r="BW4" s="224" t="s">
        <v>75</v>
      </c>
      <c r="BX4" s="224"/>
      <c r="BY4" s="224"/>
      <c r="BZ4" s="208" t="s">
        <v>76</v>
      </c>
      <c r="CA4" s="208"/>
      <c r="CB4" s="208"/>
      <c r="CC4" s="223" t="s">
        <v>75</v>
      </c>
      <c r="CD4" s="223"/>
      <c r="CE4" s="223"/>
      <c r="CF4" s="208" t="s">
        <v>76</v>
      </c>
      <c r="CG4" s="208"/>
      <c r="CH4" s="208"/>
      <c r="CI4" s="223" t="s">
        <v>75</v>
      </c>
      <c r="CJ4" s="223"/>
      <c r="CK4" s="223"/>
      <c r="CL4" s="221" t="s">
        <v>19</v>
      </c>
    </row>
    <row r="5" spans="1:90" ht="32.25" customHeight="1">
      <c r="A5" s="230"/>
      <c r="B5" s="199"/>
      <c r="C5" s="154" t="s">
        <v>73</v>
      </c>
      <c r="D5" s="150"/>
      <c r="E5" s="150"/>
      <c r="F5" s="150"/>
      <c r="G5" s="153"/>
      <c r="H5" s="153"/>
      <c r="I5" s="150"/>
      <c r="J5" s="150"/>
      <c r="K5" s="150"/>
      <c r="L5" s="150"/>
      <c r="M5" s="153"/>
      <c r="N5" s="153"/>
      <c r="O5" s="150"/>
      <c r="P5" s="155" t="s">
        <v>20</v>
      </c>
      <c r="Q5" s="156" t="s">
        <v>21</v>
      </c>
      <c r="R5" s="157" t="s">
        <v>35</v>
      </c>
      <c r="S5" s="158" t="s">
        <v>33</v>
      </c>
      <c r="T5" s="157" t="s">
        <v>36</v>
      </c>
      <c r="U5" s="158" t="s">
        <v>34</v>
      </c>
      <c r="V5" s="156" t="s">
        <v>22</v>
      </c>
      <c r="W5" s="159" t="s">
        <v>20</v>
      </c>
      <c r="X5" s="156" t="s">
        <v>21</v>
      </c>
      <c r="Y5" s="157" t="s">
        <v>35</v>
      </c>
      <c r="Z5" s="158" t="s">
        <v>33</v>
      </c>
      <c r="AA5" s="157" t="s">
        <v>36</v>
      </c>
      <c r="AB5" s="158" t="s">
        <v>34</v>
      </c>
      <c r="AC5" s="160" t="s">
        <v>22</v>
      </c>
      <c r="AD5" s="161" t="s">
        <v>20</v>
      </c>
      <c r="AE5" s="162" t="s">
        <v>21</v>
      </c>
      <c r="AF5" s="162" t="s">
        <v>22</v>
      </c>
      <c r="AG5" s="162" t="s">
        <v>20</v>
      </c>
      <c r="AH5" s="162" t="s">
        <v>21</v>
      </c>
      <c r="AI5" s="163" t="s">
        <v>22</v>
      </c>
      <c r="AJ5" s="164" t="s">
        <v>20</v>
      </c>
      <c r="AK5" s="165" t="s">
        <v>21</v>
      </c>
      <c r="AL5" s="165" t="s">
        <v>22</v>
      </c>
      <c r="AM5" s="166" t="s">
        <v>20</v>
      </c>
      <c r="AN5" s="165" t="s">
        <v>21</v>
      </c>
      <c r="AO5" s="165" t="s">
        <v>22</v>
      </c>
      <c r="AP5" s="164" t="s">
        <v>20</v>
      </c>
      <c r="AQ5" s="165" t="s">
        <v>21</v>
      </c>
      <c r="AR5" s="165" t="s">
        <v>22</v>
      </c>
      <c r="AS5" s="166" t="s">
        <v>20</v>
      </c>
      <c r="AT5" s="165" t="s">
        <v>21</v>
      </c>
      <c r="AU5" s="165" t="s">
        <v>22</v>
      </c>
      <c r="AV5" s="161" t="s">
        <v>20</v>
      </c>
      <c r="AW5" s="162" t="s">
        <v>21</v>
      </c>
      <c r="AX5" s="162" t="s">
        <v>22</v>
      </c>
      <c r="AY5" s="162" t="s">
        <v>20</v>
      </c>
      <c r="AZ5" s="162" t="s">
        <v>21</v>
      </c>
      <c r="BA5" s="167" t="s">
        <v>22</v>
      </c>
      <c r="BB5" s="168" t="s">
        <v>20</v>
      </c>
      <c r="BC5" s="165" t="s">
        <v>21</v>
      </c>
      <c r="BD5" s="165" t="s">
        <v>22</v>
      </c>
      <c r="BE5" s="166" t="s">
        <v>20</v>
      </c>
      <c r="BF5" s="165" t="s">
        <v>21</v>
      </c>
      <c r="BG5" s="169" t="s">
        <v>22</v>
      </c>
      <c r="BH5" s="170" t="s">
        <v>20</v>
      </c>
      <c r="BI5" s="165" t="s">
        <v>21</v>
      </c>
      <c r="BJ5" s="165" t="s">
        <v>22</v>
      </c>
      <c r="BK5" s="166" t="s">
        <v>20</v>
      </c>
      <c r="BL5" s="165" t="s">
        <v>21</v>
      </c>
      <c r="BM5" s="169" t="s">
        <v>22</v>
      </c>
      <c r="BN5" s="171" t="s">
        <v>20</v>
      </c>
      <c r="BO5" s="162" t="s">
        <v>21</v>
      </c>
      <c r="BP5" s="162" t="s">
        <v>22</v>
      </c>
      <c r="BQ5" s="162" t="s">
        <v>20</v>
      </c>
      <c r="BR5" s="162" t="s">
        <v>21</v>
      </c>
      <c r="BS5" s="167" t="s">
        <v>22</v>
      </c>
      <c r="BT5" s="171" t="s">
        <v>20</v>
      </c>
      <c r="BU5" s="162" t="s">
        <v>21</v>
      </c>
      <c r="BV5" s="162" t="s">
        <v>22</v>
      </c>
      <c r="BW5" s="162" t="s">
        <v>20</v>
      </c>
      <c r="BX5" s="162" t="s">
        <v>21</v>
      </c>
      <c r="BY5" s="167" t="s">
        <v>22</v>
      </c>
      <c r="BZ5" s="170" t="s">
        <v>20</v>
      </c>
      <c r="CA5" s="165" t="s">
        <v>21</v>
      </c>
      <c r="CB5" s="165" t="s">
        <v>22</v>
      </c>
      <c r="CC5" s="166" t="s">
        <v>20</v>
      </c>
      <c r="CD5" s="165" t="s">
        <v>21</v>
      </c>
      <c r="CE5" s="169" t="s">
        <v>22</v>
      </c>
      <c r="CF5" s="170" t="s">
        <v>20</v>
      </c>
      <c r="CG5" s="165" t="s">
        <v>21</v>
      </c>
      <c r="CH5" s="165" t="s">
        <v>22</v>
      </c>
      <c r="CI5" s="166" t="s">
        <v>20</v>
      </c>
      <c r="CJ5" s="165" t="s">
        <v>21</v>
      </c>
      <c r="CK5" s="172" t="s">
        <v>22</v>
      </c>
      <c r="CL5" s="222"/>
    </row>
    <row r="6" spans="1:90" ht="12" customHeight="1">
      <c r="A6" s="143">
        <v>1</v>
      </c>
      <c r="B6" s="143"/>
      <c r="C6" s="173">
        <v>2</v>
      </c>
      <c r="D6" s="174"/>
      <c r="E6" s="174"/>
      <c r="F6" s="174"/>
      <c r="G6" s="175"/>
      <c r="H6" s="175"/>
      <c r="I6" s="174"/>
      <c r="J6" s="174"/>
      <c r="K6" s="174"/>
      <c r="L6" s="174"/>
      <c r="M6" s="175"/>
      <c r="N6" s="175"/>
      <c r="O6" s="174"/>
      <c r="P6" s="176">
        <v>3</v>
      </c>
      <c r="Q6" s="177">
        <v>4</v>
      </c>
      <c r="R6" s="177"/>
      <c r="S6" s="178"/>
      <c r="T6" s="179"/>
      <c r="U6" s="180"/>
      <c r="V6" s="181">
        <v>5</v>
      </c>
      <c r="W6" s="182">
        <v>6</v>
      </c>
      <c r="X6" s="183">
        <v>7</v>
      </c>
      <c r="Y6" s="184"/>
      <c r="Z6" s="185"/>
      <c r="AA6" s="184"/>
      <c r="AB6" s="185"/>
      <c r="AC6" s="186">
        <v>8</v>
      </c>
      <c r="AD6" s="187">
        <v>9</v>
      </c>
      <c r="AE6" s="188">
        <v>10</v>
      </c>
      <c r="AF6" s="188">
        <v>11</v>
      </c>
      <c r="AG6" s="188">
        <v>12</v>
      </c>
      <c r="AH6" s="188">
        <v>13</v>
      </c>
      <c r="AI6" s="189">
        <v>14</v>
      </c>
      <c r="AJ6" s="243" t="s">
        <v>40</v>
      </c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5"/>
      <c r="AV6" s="249" t="s">
        <v>40</v>
      </c>
      <c r="AW6" s="240"/>
      <c r="AX6" s="240"/>
      <c r="AY6" s="240"/>
      <c r="AZ6" s="240"/>
      <c r="BA6" s="250"/>
      <c r="BB6" s="190">
        <v>15</v>
      </c>
      <c r="BC6" s="177">
        <v>16</v>
      </c>
      <c r="BD6" s="177">
        <v>17</v>
      </c>
      <c r="BE6" s="191">
        <v>18</v>
      </c>
      <c r="BF6" s="177">
        <v>19</v>
      </c>
      <c r="BG6" s="192">
        <v>20</v>
      </c>
      <c r="BH6" s="193">
        <v>21</v>
      </c>
      <c r="BI6" s="177">
        <v>22</v>
      </c>
      <c r="BJ6" s="177">
        <v>23</v>
      </c>
      <c r="BK6" s="191">
        <v>24</v>
      </c>
      <c r="BL6" s="177">
        <v>25</v>
      </c>
      <c r="BM6" s="192">
        <v>26</v>
      </c>
      <c r="BN6" s="194">
        <v>27</v>
      </c>
      <c r="BO6" s="188">
        <v>28</v>
      </c>
      <c r="BP6" s="188">
        <v>29</v>
      </c>
      <c r="BQ6" s="188">
        <v>30</v>
      </c>
      <c r="BR6" s="188">
        <v>31</v>
      </c>
      <c r="BS6" s="195">
        <v>32</v>
      </c>
      <c r="BT6" s="239" t="s">
        <v>40</v>
      </c>
      <c r="BU6" s="240"/>
      <c r="BV6" s="240"/>
      <c r="BW6" s="240"/>
      <c r="BX6" s="240"/>
      <c r="BY6" s="241"/>
      <c r="BZ6" s="193">
        <v>33</v>
      </c>
      <c r="CA6" s="177">
        <v>34</v>
      </c>
      <c r="CB6" s="177">
        <v>35</v>
      </c>
      <c r="CC6" s="191">
        <v>36</v>
      </c>
      <c r="CD6" s="177">
        <v>37</v>
      </c>
      <c r="CE6" s="177">
        <v>38</v>
      </c>
      <c r="CF6" s="182">
        <v>39</v>
      </c>
      <c r="CG6" s="177">
        <v>40</v>
      </c>
      <c r="CH6" s="177">
        <v>41</v>
      </c>
      <c r="CI6" s="191">
        <v>42</v>
      </c>
      <c r="CJ6" s="177">
        <v>43</v>
      </c>
      <c r="CK6" s="196">
        <v>44</v>
      </c>
      <c r="CL6" s="197">
        <v>45</v>
      </c>
    </row>
    <row r="7" spans="1:90" s="81" customFormat="1" ht="18.75" customHeight="1">
      <c r="A7" s="144" t="s">
        <v>2</v>
      </c>
      <c r="B7" s="200"/>
      <c r="C7" s="45">
        <f aca="true" t="shared" si="0" ref="C7:C24">D7</f>
        <v>0</v>
      </c>
      <c r="D7" s="10">
        <f aca="true" t="shared" si="1" ref="D7:D24">E7+F7</f>
        <v>0</v>
      </c>
      <c r="E7" s="11"/>
      <c r="F7" s="50"/>
      <c r="G7" s="57"/>
      <c r="H7" s="57">
        <f>P7-D7-G7</f>
        <v>10054053.24</v>
      </c>
      <c r="I7" s="61"/>
      <c r="J7" s="10">
        <f aca="true" t="shared" si="2" ref="J7:J24">K7+L7</f>
        <v>0</v>
      </c>
      <c r="K7" s="11"/>
      <c r="L7" s="51"/>
      <c r="M7" s="55"/>
      <c r="N7" s="55">
        <f>W7-J7-M7</f>
        <v>18000</v>
      </c>
      <c r="O7" s="64"/>
      <c r="P7" s="119">
        <f aca="true" t="shared" si="3" ref="P7:P24">Q7+V7</f>
        <v>10054053.24</v>
      </c>
      <c r="Q7" s="50">
        <v>2778700</v>
      </c>
      <c r="R7" s="47">
        <f>AE7+AW7+BO7+BU7</f>
        <v>0</v>
      </c>
      <c r="S7" s="40">
        <f aca="true" t="shared" si="4" ref="S7:S24">Q7-R7</f>
        <v>2778700</v>
      </c>
      <c r="T7" s="47">
        <f>AF7+AX7+BP7+BV7</f>
        <v>0</v>
      </c>
      <c r="U7" s="40">
        <f aca="true" t="shared" si="5" ref="U7:U24">V7-T7</f>
        <v>7275353.24</v>
      </c>
      <c r="V7" s="51">
        <v>7275353.24</v>
      </c>
      <c r="W7" s="7">
        <f aca="true" t="shared" si="6" ref="W7:W23">X7+AC7</f>
        <v>18000</v>
      </c>
      <c r="X7" s="51">
        <v>0</v>
      </c>
      <c r="Y7" s="48">
        <f>AH7+AZ7+BR7+BX7</f>
        <v>0</v>
      </c>
      <c r="Z7" s="43">
        <f aca="true" t="shared" si="7" ref="Z7:Z24">X7-Y7</f>
        <v>0</v>
      </c>
      <c r="AA7" s="48">
        <f>AI7+BA7+BS7+BY7</f>
        <v>0</v>
      </c>
      <c r="AB7" s="43">
        <f aca="true" t="shared" si="8" ref="AB7:AB24">AC7-AA7</f>
        <v>18000</v>
      </c>
      <c r="AC7" s="51">
        <v>18000</v>
      </c>
      <c r="AD7" s="120">
        <f aca="true" t="shared" si="9" ref="AD7:AD12">AE7+AF7</f>
        <v>0</v>
      </c>
      <c r="AE7" s="121">
        <f>AK7+AQ7</f>
        <v>0</v>
      </c>
      <c r="AF7" s="121">
        <f>AL7+AR7</f>
        <v>0</v>
      </c>
      <c r="AG7" s="121">
        <f aca="true" t="shared" si="10" ref="AG7:AG12">AH7+AI7</f>
        <v>0</v>
      </c>
      <c r="AH7" s="121">
        <f>AN7+AT7</f>
        <v>0</v>
      </c>
      <c r="AI7" s="122">
        <f>AO7+AU7</f>
        <v>0</v>
      </c>
      <c r="AJ7" s="123">
        <f>AK7+AL7</f>
        <v>0</v>
      </c>
      <c r="AK7" s="3"/>
      <c r="AL7" s="3"/>
      <c r="AM7" s="130">
        <f>AN7+AO7</f>
        <v>0</v>
      </c>
      <c r="AN7" s="3"/>
      <c r="AO7" s="3"/>
      <c r="AP7" s="123">
        <f>AQ7+AR7</f>
        <v>0</v>
      </c>
      <c r="AQ7" s="3"/>
      <c r="AR7" s="3"/>
      <c r="AS7" s="130">
        <f>AT7+AU7</f>
        <v>0</v>
      </c>
      <c r="AT7" s="3"/>
      <c r="AU7" s="3"/>
      <c r="AV7" s="120">
        <f>AW7+AX7</f>
        <v>0</v>
      </c>
      <c r="AW7" s="120">
        <f>BC7+BI7</f>
        <v>0</v>
      </c>
      <c r="AX7" s="120">
        <f>BD7+BJ7</f>
        <v>0</v>
      </c>
      <c r="AY7" s="120">
        <f>AZ7+BA7</f>
        <v>0</v>
      </c>
      <c r="AZ7" s="120">
        <f>BF7+BL7</f>
        <v>0</v>
      </c>
      <c r="BA7" s="120">
        <f>BG7+BM7</f>
        <v>0</v>
      </c>
      <c r="BB7" s="131">
        <f>BC7+BD7</f>
        <v>0</v>
      </c>
      <c r="BC7" s="3"/>
      <c r="BD7" s="3"/>
      <c r="BE7" s="130">
        <f>BF7+BG7</f>
        <v>0</v>
      </c>
      <c r="BF7" s="3"/>
      <c r="BG7" s="3"/>
      <c r="BH7" s="136">
        <f aca="true" t="shared" si="11" ref="BH7:BH24">BI7+BJ7</f>
        <v>0</v>
      </c>
      <c r="BI7" s="3"/>
      <c r="BJ7" s="3"/>
      <c r="BK7" s="130">
        <f aca="true" t="shared" si="12" ref="BK7:BK24">BL7+BM7</f>
        <v>0</v>
      </c>
      <c r="BL7" s="3"/>
      <c r="BM7" s="4"/>
      <c r="BN7" s="140">
        <f aca="true" t="shared" si="13" ref="BN7:BN24">BO7+BP7</f>
        <v>0</v>
      </c>
      <c r="BO7" s="8"/>
      <c r="BP7" s="8"/>
      <c r="BQ7" s="121">
        <f aca="true" t="shared" si="14" ref="BQ7:BQ24">BR7+BS7</f>
        <v>0</v>
      </c>
      <c r="BR7" s="8"/>
      <c r="BS7" s="9"/>
      <c r="BT7" s="121">
        <f>BU7+BV7</f>
        <v>0</v>
      </c>
      <c r="BU7" s="121">
        <f>CA7+CG7</f>
        <v>0</v>
      </c>
      <c r="BV7" s="121">
        <f>CB7+CH7</f>
        <v>0</v>
      </c>
      <c r="BW7" s="121">
        <f>BX7+BY7</f>
        <v>0</v>
      </c>
      <c r="BX7" s="121">
        <f>CD7+CJ7</f>
        <v>0</v>
      </c>
      <c r="BY7" s="121">
        <f>CE7+CK7</f>
        <v>0</v>
      </c>
      <c r="BZ7" s="131">
        <f aca="true" t="shared" si="15" ref="BZ7:BZ24">CA7+CB7</f>
        <v>0</v>
      </c>
      <c r="CA7" s="3"/>
      <c r="CB7" s="3"/>
      <c r="CC7" s="130">
        <f aca="true" t="shared" si="16" ref="CC7:CC24">CD7+CE7</f>
        <v>0</v>
      </c>
      <c r="CD7" s="3"/>
      <c r="CE7" s="4"/>
      <c r="CF7" s="136">
        <f aca="true" t="shared" si="17" ref="CF7:CF24">CG7+CH7</f>
        <v>0</v>
      </c>
      <c r="CG7" s="3"/>
      <c r="CH7" s="4"/>
      <c r="CI7" s="130">
        <f aca="true" t="shared" si="18" ref="CI7:CI24">CJ7+CK7</f>
        <v>0</v>
      </c>
      <c r="CJ7" s="3"/>
      <c r="CK7" s="4"/>
      <c r="CL7" s="70" t="s">
        <v>56</v>
      </c>
    </row>
    <row r="8" spans="1:90" s="81" customFormat="1" ht="30" customHeight="1">
      <c r="A8" s="145" t="s">
        <v>3</v>
      </c>
      <c r="B8" s="201"/>
      <c r="C8" s="45">
        <f t="shared" si="0"/>
        <v>0</v>
      </c>
      <c r="D8" s="10">
        <f t="shared" si="1"/>
        <v>0</v>
      </c>
      <c r="E8" s="12"/>
      <c r="F8" s="50"/>
      <c r="G8" s="57"/>
      <c r="H8" s="57">
        <f aca="true" t="shared" si="19" ref="H8:H24">P8-D8-G8</f>
        <v>10801800</v>
      </c>
      <c r="I8" s="61"/>
      <c r="J8" s="10">
        <f t="shared" si="2"/>
        <v>0</v>
      </c>
      <c r="K8" s="12"/>
      <c r="L8" s="52"/>
      <c r="M8" s="56"/>
      <c r="N8" s="55">
        <f aca="true" t="shared" si="20" ref="N8:N24">W8-J8-M8</f>
        <v>523950</v>
      </c>
      <c r="O8" s="65"/>
      <c r="P8" s="119">
        <f t="shared" si="3"/>
        <v>10801800</v>
      </c>
      <c r="Q8" s="50">
        <v>1305800</v>
      </c>
      <c r="R8" s="47">
        <f aca="true" t="shared" si="21" ref="R8:R24">AE8+AW8+BO8+BU8</f>
        <v>0</v>
      </c>
      <c r="S8" s="40">
        <f t="shared" si="4"/>
        <v>1305800</v>
      </c>
      <c r="T8" s="47">
        <f aca="true" t="shared" si="22" ref="T8:T24">AF8+AX8+BP8+BV8</f>
        <v>0</v>
      </c>
      <c r="U8" s="40">
        <f t="shared" si="5"/>
        <v>9496000</v>
      </c>
      <c r="V8" s="52">
        <v>9496000</v>
      </c>
      <c r="W8" s="7">
        <f t="shared" si="6"/>
        <v>523950</v>
      </c>
      <c r="X8" s="52">
        <v>0</v>
      </c>
      <c r="Y8" s="48">
        <f aca="true" t="shared" si="23" ref="Y8:Y23">AH8+AZ8+BR8+BX8</f>
        <v>0</v>
      </c>
      <c r="Z8" s="43">
        <f>X8-Y8</f>
        <v>0</v>
      </c>
      <c r="AA8" s="48">
        <f aca="true" t="shared" si="24" ref="AA8:AA24">AI8+BA8+BS8+BY8</f>
        <v>0</v>
      </c>
      <c r="AB8" s="43">
        <f t="shared" si="8"/>
        <v>523950</v>
      </c>
      <c r="AC8" s="52">
        <v>523950</v>
      </c>
      <c r="AD8" s="124">
        <f t="shared" si="9"/>
        <v>0</v>
      </c>
      <c r="AE8" s="121">
        <f aca="true" t="shared" si="25" ref="AE8:AE24">AK8+AQ8</f>
        <v>0</v>
      </c>
      <c r="AF8" s="121">
        <f aca="true" t="shared" si="26" ref="AF8:AF24">AL8+AR8</f>
        <v>0</v>
      </c>
      <c r="AG8" s="121">
        <f t="shared" si="10"/>
        <v>0</v>
      </c>
      <c r="AH8" s="121">
        <f aca="true" t="shared" si="27" ref="AH8:AH24">AN8+AT8</f>
        <v>0</v>
      </c>
      <c r="AI8" s="122">
        <f aca="true" t="shared" si="28" ref="AI8:AI24">AO8+AU8</f>
        <v>0</v>
      </c>
      <c r="AJ8" s="123">
        <f aca="true" t="shared" si="29" ref="AJ8:AJ24">AK8+AL8</f>
        <v>0</v>
      </c>
      <c r="AK8" s="2"/>
      <c r="AL8" s="2"/>
      <c r="AM8" s="130">
        <f aca="true" t="shared" si="30" ref="AM8:AM24">AN8+AO8</f>
        <v>0</v>
      </c>
      <c r="AN8" s="2"/>
      <c r="AO8" s="2"/>
      <c r="AP8" s="123">
        <f aca="true" t="shared" si="31" ref="AP8:AP24">AQ8+AR8</f>
        <v>0</v>
      </c>
      <c r="AQ8" s="2"/>
      <c r="AR8" s="2"/>
      <c r="AS8" s="130">
        <f aca="true" t="shared" si="32" ref="AS8:AS24">AT8+AU8</f>
        <v>0</v>
      </c>
      <c r="AT8" s="2"/>
      <c r="AU8" s="2"/>
      <c r="AV8" s="120">
        <f aca="true" t="shared" si="33" ref="AV8:AV24">AW8+AX8</f>
        <v>0</v>
      </c>
      <c r="AW8" s="120">
        <f aca="true" t="shared" si="34" ref="AW8:AW24">BC8+BI8</f>
        <v>0</v>
      </c>
      <c r="AX8" s="120">
        <f aca="true" t="shared" si="35" ref="AX8:AX24">BD8+BJ8</f>
        <v>0</v>
      </c>
      <c r="AY8" s="120">
        <f aca="true" t="shared" si="36" ref="AY8:AY24">AZ8+BA8</f>
        <v>0</v>
      </c>
      <c r="AZ8" s="120">
        <f aca="true" t="shared" si="37" ref="AZ8:AZ24">BF8+BL8</f>
        <v>0</v>
      </c>
      <c r="BA8" s="120">
        <f aca="true" t="shared" si="38" ref="BA8:BA24">BG8+BM8</f>
        <v>0</v>
      </c>
      <c r="BB8" s="131">
        <v>0</v>
      </c>
      <c r="BC8" s="2"/>
      <c r="BD8" s="2"/>
      <c r="BE8" s="130">
        <v>0</v>
      </c>
      <c r="BF8" s="2"/>
      <c r="BG8" s="2"/>
      <c r="BH8" s="136">
        <f t="shared" si="11"/>
        <v>0</v>
      </c>
      <c r="BI8" s="3"/>
      <c r="BJ8" s="3"/>
      <c r="BK8" s="130">
        <f t="shared" si="12"/>
        <v>0</v>
      </c>
      <c r="BL8" s="3"/>
      <c r="BM8" s="4"/>
      <c r="BN8" s="140">
        <f t="shared" si="13"/>
        <v>0</v>
      </c>
      <c r="BO8" s="8"/>
      <c r="BP8" s="13"/>
      <c r="BQ8" s="121">
        <f t="shared" si="14"/>
        <v>0</v>
      </c>
      <c r="BR8" s="8"/>
      <c r="BS8" s="9"/>
      <c r="BT8" s="121">
        <f aca="true" t="shared" si="39" ref="BT8:BT24">BU8+BV8</f>
        <v>0</v>
      </c>
      <c r="BU8" s="121">
        <f aca="true" t="shared" si="40" ref="BU8:BU24">CA8+CG8</f>
        <v>0</v>
      </c>
      <c r="BV8" s="121">
        <f aca="true" t="shared" si="41" ref="BV8:BV24">CB8+CH8</f>
        <v>0</v>
      </c>
      <c r="BW8" s="121">
        <f aca="true" t="shared" si="42" ref="BW8:BW24">BX8+BY8</f>
        <v>0</v>
      </c>
      <c r="BX8" s="121">
        <f aca="true" t="shared" si="43" ref="BX8:BX24">CD8+CJ8</f>
        <v>0</v>
      </c>
      <c r="BY8" s="121">
        <f aca="true" t="shared" si="44" ref="BY8:BY24">CE8+CK8</f>
        <v>0</v>
      </c>
      <c r="BZ8" s="131">
        <f t="shared" si="15"/>
        <v>0</v>
      </c>
      <c r="CA8" s="3"/>
      <c r="CB8" s="3"/>
      <c r="CC8" s="130">
        <f t="shared" si="16"/>
        <v>0</v>
      </c>
      <c r="CD8" s="3"/>
      <c r="CE8" s="4"/>
      <c r="CF8" s="136">
        <f t="shared" si="17"/>
        <v>0</v>
      </c>
      <c r="CG8" s="3"/>
      <c r="CH8" s="3"/>
      <c r="CI8" s="130">
        <f t="shared" si="18"/>
        <v>0</v>
      </c>
      <c r="CJ8" s="3"/>
      <c r="CK8" s="5"/>
      <c r="CL8" s="70" t="s">
        <v>64</v>
      </c>
    </row>
    <row r="9" spans="1:90" s="81" customFormat="1" ht="18" customHeight="1">
      <c r="A9" s="144" t="s">
        <v>4</v>
      </c>
      <c r="B9" s="200"/>
      <c r="C9" s="45">
        <f t="shared" si="0"/>
        <v>0</v>
      </c>
      <c r="D9" s="10">
        <f t="shared" si="1"/>
        <v>0</v>
      </c>
      <c r="E9" s="11"/>
      <c r="F9" s="50"/>
      <c r="G9" s="57"/>
      <c r="H9" s="57">
        <f t="shared" si="19"/>
        <v>11373000</v>
      </c>
      <c r="I9" s="61"/>
      <c r="J9" s="10">
        <f t="shared" si="2"/>
        <v>0</v>
      </c>
      <c r="K9" s="11"/>
      <c r="L9" s="51"/>
      <c r="M9" s="55"/>
      <c r="N9" s="55">
        <f t="shared" si="20"/>
        <v>547645.34</v>
      </c>
      <c r="O9" s="64"/>
      <c r="P9" s="119">
        <f t="shared" si="3"/>
        <v>11373000</v>
      </c>
      <c r="Q9" s="50">
        <f>2200000+1028800</f>
        <v>3228800</v>
      </c>
      <c r="R9" s="47">
        <f t="shared" si="21"/>
        <v>0</v>
      </c>
      <c r="S9" s="40">
        <f t="shared" si="4"/>
        <v>3228800</v>
      </c>
      <c r="T9" s="47">
        <f t="shared" si="22"/>
        <v>0</v>
      </c>
      <c r="U9" s="40">
        <f t="shared" si="5"/>
        <v>8144200</v>
      </c>
      <c r="V9" s="51">
        <f>7343200+801000</f>
        <v>8144200</v>
      </c>
      <c r="W9" s="7">
        <f t="shared" si="6"/>
        <v>547645.34</v>
      </c>
      <c r="X9" s="51">
        <v>0</v>
      </c>
      <c r="Y9" s="48">
        <f t="shared" si="23"/>
        <v>0</v>
      </c>
      <c r="Z9" s="43">
        <f t="shared" si="7"/>
        <v>0</v>
      </c>
      <c r="AA9" s="48">
        <f t="shared" si="24"/>
        <v>0</v>
      </c>
      <c r="AB9" s="43">
        <f t="shared" si="8"/>
        <v>547645.34</v>
      </c>
      <c r="AC9" s="51">
        <v>547645.34</v>
      </c>
      <c r="AD9" s="124">
        <f t="shared" si="9"/>
        <v>0</v>
      </c>
      <c r="AE9" s="121">
        <f t="shared" si="25"/>
        <v>0</v>
      </c>
      <c r="AF9" s="121">
        <f t="shared" si="26"/>
        <v>0</v>
      </c>
      <c r="AG9" s="121">
        <f t="shared" si="10"/>
        <v>0</v>
      </c>
      <c r="AH9" s="121">
        <f t="shared" si="27"/>
        <v>0</v>
      </c>
      <c r="AI9" s="122">
        <f t="shared" si="28"/>
        <v>0</v>
      </c>
      <c r="AJ9" s="123">
        <f t="shared" si="29"/>
        <v>0</v>
      </c>
      <c r="AK9" s="2"/>
      <c r="AL9" s="2"/>
      <c r="AM9" s="130">
        <f t="shared" si="30"/>
        <v>0</v>
      </c>
      <c r="AN9" s="2"/>
      <c r="AO9" s="2"/>
      <c r="AP9" s="123">
        <f t="shared" si="31"/>
        <v>0</v>
      </c>
      <c r="AQ9" s="2"/>
      <c r="AR9" s="2"/>
      <c r="AS9" s="130">
        <f t="shared" si="32"/>
        <v>0</v>
      </c>
      <c r="AT9" s="2"/>
      <c r="AU9" s="2"/>
      <c r="AV9" s="120">
        <f t="shared" si="33"/>
        <v>0</v>
      </c>
      <c r="AW9" s="120">
        <f t="shared" si="34"/>
        <v>0</v>
      </c>
      <c r="AX9" s="120">
        <f t="shared" si="35"/>
        <v>0</v>
      </c>
      <c r="AY9" s="120">
        <f t="shared" si="36"/>
        <v>0</v>
      </c>
      <c r="AZ9" s="120">
        <f t="shared" si="37"/>
        <v>0</v>
      </c>
      <c r="BA9" s="120">
        <f t="shared" si="38"/>
        <v>0</v>
      </c>
      <c r="BB9" s="131">
        <f>BC9+BD9</f>
        <v>0</v>
      </c>
      <c r="BC9" s="2"/>
      <c r="BD9" s="2"/>
      <c r="BE9" s="130">
        <f>BF9+BG9</f>
        <v>0</v>
      </c>
      <c r="BF9" s="2"/>
      <c r="BG9" s="2"/>
      <c r="BH9" s="137">
        <f t="shared" si="11"/>
        <v>0</v>
      </c>
      <c r="BI9" s="14"/>
      <c r="BJ9" s="14"/>
      <c r="BK9" s="139">
        <f t="shared" si="12"/>
        <v>0</v>
      </c>
      <c r="BL9" s="2"/>
      <c r="BM9" s="2"/>
      <c r="BN9" s="141">
        <f t="shared" si="13"/>
        <v>0</v>
      </c>
      <c r="BO9" s="15"/>
      <c r="BP9" s="15"/>
      <c r="BQ9" s="126">
        <f t="shared" si="14"/>
        <v>0</v>
      </c>
      <c r="BR9" s="15"/>
      <c r="BS9" s="16"/>
      <c r="BT9" s="121">
        <f t="shared" si="39"/>
        <v>0</v>
      </c>
      <c r="BU9" s="121">
        <f t="shared" si="40"/>
        <v>0</v>
      </c>
      <c r="BV9" s="121">
        <f t="shared" si="41"/>
        <v>0</v>
      </c>
      <c r="BW9" s="121">
        <f t="shared" si="42"/>
        <v>0</v>
      </c>
      <c r="BX9" s="121">
        <f t="shared" si="43"/>
        <v>0</v>
      </c>
      <c r="BY9" s="121">
        <f t="shared" si="44"/>
        <v>0</v>
      </c>
      <c r="BZ9" s="132">
        <f t="shared" si="15"/>
        <v>0</v>
      </c>
      <c r="CA9" s="17"/>
      <c r="CB9" s="17"/>
      <c r="CC9" s="134">
        <f t="shared" si="16"/>
        <v>0</v>
      </c>
      <c r="CD9" s="17"/>
      <c r="CE9" s="18"/>
      <c r="CF9" s="137">
        <f t="shared" si="17"/>
        <v>0</v>
      </c>
      <c r="CG9" s="14"/>
      <c r="CH9" s="17"/>
      <c r="CI9" s="139">
        <f t="shared" si="18"/>
        <v>0</v>
      </c>
      <c r="CJ9" s="14"/>
      <c r="CK9" s="19"/>
      <c r="CL9" s="70" t="s">
        <v>50</v>
      </c>
    </row>
    <row r="10" spans="1:90" s="81" customFormat="1" ht="29.25" customHeight="1">
      <c r="A10" s="144" t="s">
        <v>5</v>
      </c>
      <c r="B10" s="200"/>
      <c r="C10" s="45">
        <f t="shared" si="0"/>
        <v>0</v>
      </c>
      <c r="D10" s="10">
        <f t="shared" si="1"/>
        <v>0</v>
      </c>
      <c r="E10" s="11"/>
      <c r="F10" s="50"/>
      <c r="G10" s="57"/>
      <c r="H10" s="57">
        <f t="shared" si="19"/>
        <v>24747200</v>
      </c>
      <c r="I10" s="61"/>
      <c r="J10" s="10">
        <f t="shared" si="2"/>
        <v>0</v>
      </c>
      <c r="K10" s="11"/>
      <c r="L10" s="51"/>
      <c r="M10" s="55"/>
      <c r="N10" s="55">
        <f t="shared" si="20"/>
        <v>883797</v>
      </c>
      <c r="O10" s="64"/>
      <c r="P10" s="119">
        <f t="shared" si="3"/>
        <v>24747200</v>
      </c>
      <c r="Q10" s="50">
        <v>9689900</v>
      </c>
      <c r="R10" s="47">
        <f t="shared" si="21"/>
        <v>0</v>
      </c>
      <c r="S10" s="40">
        <f t="shared" si="4"/>
        <v>9689900</v>
      </c>
      <c r="T10" s="47">
        <f t="shared" si="22"/>
        <v>0</v>
      </c>
      <c r="U10" s="40">
        <f t="shared" si="5"/>
        <v>15057300</v>
      </c>
      <c r="V10" s="51">
        <f>12335200+2722100</f>
        <v>15057300</v>
      </c>
      <c r="W10" s="7">
        <f t="shared" si="6"/>
        <v>883797</v>
      </c>
      <c r="X10" s="50">
        <v>0</v>
      </c>
      <c r="Y10" s="48">
        <f t="shared" si="23"/>
        <v>0</v>
      </c>
      <c r="Z10" s="43">
        <f t="shared" si="7"/>
        <v>0</v>
      </c>
      <c r="AA10" s="48">
        <f t="shared" si="24"/>
        <v>0</v>
      </c>
      <c r="AB10" s="43">
        <f t="shared" si="8"/>
        <v>883797</v>
      </c>
      <c r="AC10" s="51">
        <v>883797</v>
      </c>
      <c r="AD10" s="124">
        <f t="shared" si="9"/>
        <v>0</v>
      </c>
      <c r="AE10" s="121">
        <f t="shared" si="25"/>
        <v>0</v>
      </c>
      <c r="AF10" s="121">
        <f t="shared" si="26"/>
        <v>0</v>
      </c>
      <c r="AG10" s="121">
        <f t="shared" si="10"/>
        <v>0</v>
      </c>
      <c r="AH10" s="121">
        <f t="shared" si="27"/>
        <v>0</v>
      </c>
      <c r="AI10" s="122">
        <f t="shared" si="28"/>
        <v>0</v>
      </c>
      <c r="AJ10" s="123">
        <f t="shared" si="29"/>
        <v>0</v>
      </c>
      <c r="AK10" s="3"/>
      <c r="AL10" s="3"/>
      <c r="AM10" s="130">
        <f t="shared" si="30"/>
        <v>0</v>
      </c>
      <c r="AN10" s="3"/>
      <c r="AO10" s="3"/>
      <c r="AP10" s="123">
        <f t="shared" si="31"/>
        <v>0</v>
      </c>
      <c r="AQ10" s="3"/>
      <c r="AR10" s="3"/>
      <c r="AS10" s="130">
        <f t="shared" si="32"/>
        <v>0</v>
      </c>
      <c r="AT10" s="3"/>
      <c r="AU10" s="3"/>
      <c r="AV10" s="120">
        <f t="shared" si="33"/>
        <v>0</v>
      </c>
      <c r="AW10" s="120">
        <f t="shared" si="34"/>
        <v>0</v>
      </c>
      <c r="AX10" s="120">
        <f t="shared" si="35"/>
        <v>0</v>
      </c>
      <c r="AY10" s="120">
        <f t="shared" si="36"/>
        <v>0</v>
      </c>
      <c r="AZ10" s="120">
        <f t="shared" si="37"/>
        <v>0</v>
      </c>
      <c r="BA10" s="120">
        <f t="shared" si="38"/>
        <v>0</v>
      </c>
      <c r="BB10" s="131">
        <f>BC10+BD10</f>
        <v>0</v>
      </c>
      <c r="BC10" s="3"/>
      <c r="BD10" s="3"/>
      <c r="BE10" s="130">
        <f>BF10+BG10</f>
        <v>0</v>
      </c>
      <c r="BF10" s="3"/>
      <c r="BG10" s="4"/>
      <c r="BH10" s="136">
        <f t="shared" si="11"/>
        <v>0</v>
      </c>
      <c r="BI10" s="3"/>
      <c r="BJ10" s="3"/>
      <c r="BK10" s="130">
        <f t="shared" si="12"/>
        <v>0</v>
      </c>
      <c r="BL10" s="3"/>
      <c r="BM10" s="4"/>
      <c r="BN10" s="140">
        <f t="shared" si="13"/>
        <v>0</v>
      </c>
      <c r="BO10" s="8"/>
      <c r="BP10" s="8"/>
      <c r="BQ10" s="121">
        <f t="shared" si="14"/>
        <v>0</v>
      </c>
      <c r="BR10" s="8"/>
      <c r="BS10" s="9"/>
      <c r="BT10" s="121">
        <f t="shared" si="39"/>
        <v>0</v>
      </c>
      <c r="BU10" s="121">
        <f t="shared" si="40"/>
        <v>0</v>
      </c>
      <c r="BV10" s="121">
        <f t="shared" si="41"/>
        <v>0</v>
      </c>
      <c r="BW10" s="121">
        <f t="shared" si="42"/>
        <v>0</v>
      </c>
      <c r="BX10" s="121">
        <f t="shared" si="43"/>
        <v>0</v>
      </c>
      <c r="BY10" s="121">
        <f t="shared" si="44"/>
        <v>0</v>
      </c>
      <c r="BZ10" s="131">
        <f t="shared" si="15"/>
        <v>0</v>
      </c>
      <c r="CA10" s="3"/>
      <c r="CB10" s="3"/>
      <c r="CC10" s="130">
        <f t="shared" si="16"/>
        <v>0</v>
      </c>
      <c r="CD10" s="3"/>
      <c r="CE10" s="4"/>
      <c r="CF10" s="136">
        <f t="shared" si="17"/>
        <v>0</v>
      </c>
      <c r="CG10" s="3"/>
      <c r="CH10" s="3"/>
      <c r="CI10" s="130">
        <f t="shared" si="18"/>
        <v>0</v>
      </c>
      <c r="CJ10" s="3"/>
      <c r="CK10" s="5"/>
      <c r="CL10" s="70" t="s">
        <v>60</v>
      </c>
    </row>
    <row r="11" spans="1:90" s="81" customFormat="1" ht="18" customHeight="1">
      <c r="A11" s="144" t="s">
        <v>29</v>
      </c>
      <c r="B11" s="200"/>
      <c r="C11" s="45">
        <f t="shared" si="0"/>
        <v>0</v>
      </c>
      <c r="D11" s="10">
        <f t="shared" si="1"/>
        <v>0</v>
      </c>
      <c r="E11" s="11"/>
      <c r="F11" s="50"/>
      <c r="G11" s="57"/>
      <c r="H11" s="57">
        <f t="shared" si="19"/>
        <v>25349627.46</v>
      </c>
      <c r="I11" s="61"/>
      <c r="J11" s="10">
        <f t="shared" si="2"/>
        <v>0</v>
      </c>
      <c r="K11" s="11"/>
      <c r="L11" s="50"/>
      <c r="M11" s="57"/>
      <c r="N11" s="55">
        <f t="shared" si="20"/>
        <v>4434678.43</v>
      </c>
      <c r="O11" s="61"/>
      <c r="P11" s="119">
        <f t="shared" si="3"/>
        <v>25349627.46</v>
      </c>
      <c r="Q11" s="50">
        <f>2699500</f>
        <v>2699500</v>
      </c>
      <c r="R11" s="47">
        <f t="shared" si="21"/>
        <v>0</v>
      </c>
      <c r="S11" s="40">
        <f t="shared" si="4"/>
        <v>2699500</v>
      </c>
      <c r="T11" s="47">
        <f t="shared" si="22"/>
        <v>0</v>
      </c>
      <c r="U11" s="40">
        <f t="shared" si="5"/>
        <v>22650127.46</v>
      </c>
      <c r="V11" s="52">
        <f>45084500+4910130.72+99996.74-16244500-11200000</f>
        <v>22650127.46</v>
      </c>
      <c r="W11" s="7">
        <f t="shared" si="6"/>
        <v>4434678.43</v>
      </c>
      <c r="X11" s="50">
        <v>0</v>
      </c>
      <c r="Y11" s="48">
        <f t="shared" si="23"/>
        <v>0</v>
      </c>
      <c r="Z11" s="43">
        <f t="shared" si="7"/>
        <v>0</v>
      </c>
      <c r="AA11" s="48">
        <f t="shared" si="24"/>
        <v>0</v>
      </c>
      <c r="AB11" s="43">
        <f t="shared" si="8"/>
        <v>4434678.43</v>
      </c>
      <c r="AC11" s="52">
        <f>4434678.43</f>
        <v>4434678.43</v>
      </c>
      <c r="AD11" s="124">
        <f t="shared" si="9"/>
        <v>0</v>
      </c>
      <c r="AE11" s="121">
        <f t="shared" si="25"/>
        <v>0</v>
      </c>
      <c r="AF11" s="121">
        <f t="shared" si="26"/>
        <v>0</v>
      </c>
      <c r="AG11" s="121">
        <f t="shared" si="10"/>
        <v>0</v>
      </c>
      <c r="AH11" s="121">
        <f t="shared" si="27"/>
        <v>0</v>
      </c>
      <c r="AI11" s="122">
        <f t="shared" si="28"/>
        <v>0</v>
      </c>
      <c r="AJ11" s="123">
        <f t="shared" si="29"/>
        <v>0</v>
      </c>
      <c r="AK11" s="2"/>
      <c r="AL11" s="2"/>
      <c r="AM11" s="130">
        <f t="shared" si="30"/>
        <v>0</v>
      </c>
      <c r="AN11" s="2"/>
      <c r="AO11" s="2"/>
      <c r="AP11" s="123">
        <f t="shared" si="31"/>
        <v>0</v>
      </c>
      <c r="AQ11" s="2"/>
      <c r="AR11" s="2"/>
      <c r="AS11" s="130">
        <f t="shared" si="32"/>
        <v>0</v>
      </c>
      <c r="AT11" s="2"/>
      <c r="AU11" s="2"/>
      <c r="AV11" s="120">
        <f t="shared" si="33"/>
        <v>0</v>
      </c>
      <c r="AW11" s="120">
        <f t="shared" si="34"/>
        <v>0</v>
      </c>
      <c r="AX11" s="120">
        <f t="shared" si="35"/>
        <v>0</v>
      </c>
      <c r="AY11" s="120">
        <f t="shared" si="36"/>
        <v>0</v>
      </c>
      <c r="AZ11" s="120">
        <f t="shared" si="37"/>
        <v>0</v>
      </c>
      <c r="BA11" s="120">
        <f t="shared" si="38"/>
        <v>0</v>
      </c>
      <c r="BB11" s="131">
        <f>BC11+BD11</f>
        <v>0</v>
      </c>
      <c r="BC11" s="2"/>
      <c r="BD11" s="2"/>
      <c r="BE11" s="130">
        <f>BF11+BG11</f>
        <v>0</v>
      </c>
      <c r="BF11" s="2"/>
      <c r="BG11" s="20"/>
      <c r="BH11" s="136">
        <f t="shared" si="11"/>
        <v>0</v>
      </c>
      <c r="BI11" s="2"/>
      <c r="BJ11" s="2"/>
      <c r="BK11" s="130">
        <f t="shared" si="12"/>
        <v>0</v>
      </c>
      <c r="BL11" s="2"/>
      <c r="BM11" s="20"/>
      <c r="BN11" s="140">
        <f t="shared" si="13"/>
        <v>0</v>
      </c>
      <c r="BO11" s="13"/>
      <c r="BP11" s="13"/>
      <c r="BQ11" s="121">
        <f t="shared" si="14"/>
        <v>0</v>
      </c>
      <c r="BR11" s="13"/>
      <c r="BS11" s="21"/>
      <c r="BT11" s="121">
        <f t="shared" si="39"/>
        <v>0</v>
      </c>
      <c r="BU11" s="121">
        <f t="shared" si="40"/>
        <v>0</v>
      </c>
      <c r="BV11" s="121">
        <f t="shared" si="41"/>
        <v>0</v>
      </c>
      <c r="BW11" s="121">
        <f t="shared" si="42"/>
        <v>0</v>
      </c>
      <c r="BX11" s="121">
        <f t="shared" si="43"/>
        <v>0</v>
      </c>
      <c r="BY11" s="121">
        <f t="shared" si="44"/>
        <v>0</v>
      </c>
      <c r="BZ11" s="131">
        <f t="shared" si="15"/>
        <v>0</v>
      </c>
      <c r="CA11" s="2"/>
      <c r="CB11" s="2"/>
      <c r="CC11" s="130">
        <f t="shared" si="16"/>
        <v>0</v>
      </c>
      <c r="CD11" s="2"/>
      <c r="CE11" s="20"/>
      <c r="CF11" s="136">
        <f t="shared" si="17"/>
        <v>0</v>
      </c>
      <c r="CG11" s="2"/>
      <c r="CH11" s="2"/>
      <c r="CI11" s="130">
        <f t="shared" si="18"/>
        <v>0</v>
      </c>
      <c r="CJ11" s="3"/>
      <c r="CK11" s="5"/>
      <c r="CL11" s="70"/>
    </row>
    <row r="12" spans="1:90" s="81" customFormat="1" ht="29.25" customHeight="1">
      <c r="A12" s="144" t="s">
        <v>6</v>
      </c>
      <c r="B12" s="200"/>
      <c r="C12" s="45">
        <f t="shared" si="0"/>
        <v>0</v>
      </c>
      <c r="D12" s="10">
        <f t="shared" si="1"/>
        <v>0</v>
      </c>
      <c r="E12" s="11"/>
      <c r="F12" s="50"/>
      <c r="G12" s="57"/>
      <c r="H12" s="57">
        <f t="shared" si="19"/>
        <v>4059100</v>
      </c>
      <c r="I12" s="61"/>
      <c r="J12" s="10">
        <f t="shared" si="2"/>
        <v>0</v>
      </c>
      <c r="K12" s="11"/>
      <c r="L12" s="50"/>
      <c r="M12" s="57"/>
      <c r="N12" s="55">
        <f t="shared" si="20"/>
        <v>255400</v>
      </c>
      <c r="O12" s="61"/>
      <c r="P12" s="119">
        <f t="shared" si="3"/>
        <v>4059100</v>
      </c>
      <c r="Q12" s="50">
        <f>2567100</f>
        <v>2567100</v>
      </c>
      <c r="R12" s="47">
        <f t="shared" si="21"/>
        <v>0</v>
      </c>
      <c r="S12" s="40">
        <f t="shared" si="4"/>
        <v>2567100</v>
      </c>
      <c r="T12" s="47">
        <f t="shared" si="22"/>
        <v>0</v>
      </c>
      <c r="U12" s="40">
        <f t="shared" si="5"/>
        <v>1492000</v>
      </c>
      <c r="V12" s="51">
        <f>1492000</f>
        <v>1492000</v>
      </c>
      <c r="W12" s="7">
        <f t="shared" si="6"/>
        <v>255400</v>
      </c>
      <c r="X12" s="51">
        <v>0</v>
      </c>
      <c r="Y12" s="48">
        <f t="shared" si="23"/>
        <v>0</v>
      </c>
      <c r="Z12" s="43">
        <f t="shared" si="7"/>
        <v>0</v>
      </c>
      <c r="AA12" s="48">
        <f t="shared" si="24"/>
        <v>0</v>
      </c>
      <c r="AB12" s="43">
        <f t="shared" si="8"/>
        <v>255400</v>
      </c>
      <c r="AC12" s="51">
        <f>255400</f>
        <v>255400</v>
      </c>
      <c r="AD12" s="124">
        <f t="shared" si="9"/>
        <v>0</v>
      </c>
      <c r="AE12" s="121">
        <f t="shared" si="25"/>
        <v>0</v>
      </c>
      <c r="AF12" s="121">
        <f t="shared" si="26"/>
        <v>0</v>
      </c>
      <c r="AG12" s="121">
        <f t="shared" si="10"/>
        <v>0</v>
      </c>
      <c r="AH12" s="121">
        <f t="shared" si="27"/>
        <v>0</v>
      </c>
      <c r="AI12" s="122">
        <f t="shared" si="28"/>
        <v>0</v>
      </c>
      <c r="AJ12" s="123">
        <f t="shared" si="29"/>
        <v>0</v>
      </c>
      <c r="AK12" s="3"/>
      <c r="AL12" s="3"/>
      <c r="AM12" s="130">
        <f t="shared" si="30"/>
        <v>0</v>
      </c>
      <c r="AN12" s="3"/>
      <c r="AO12" s="3"/>
      <c r="AP12" s="123">
        <f t="shared" si="31"/>
        <v>0</v>
      </c>
      <c r="AQ12" s="3"/>
      <c r="AR12" s="3"/>
      <c r="AS12" s="130">
        <f t="shared" si="32"/>
        <v>0</v>
      </c>
      <c r="AT12" s="3"/>
      <c r="AU12" s="3"/>
      <c r="AV12" s="120">
        <f t="shared" si="33"/>
        <v>0</v>
      </c>
      <c r="AW12" s="120">
        <f t="shared" si="34"/>
        <v>0</v>
      </c>
      <c r="AX12" s="120">
        <f t="shared" si="35"/>
        <v>0</v>
      </c>
      <c r="AY12" s="120">
        <f t="shared" si="36"/>
        <v>0</v>
      </c>
      <c r="AZ12" s="120">
        <f t="shared" si="37"/>
        <v>0</v>
      </c>
      <c r="BA12" s="120">
        <f t="shared" si="38"/>
        <v>0</v>
      </c>
      <c r="BB12" s="131">
        <f>BC12+BD12</f>
        <v>0</v>
      </c>
      <c r="BC12" s="3"/>
      <c r="BD12" s="3"/>
      <c r="BE12" s="130">
        <f>BF12+BG12</f>
        <v>0</v>
      </c>
      <c r="BF12" s="3"/>
      <c r="BG12" s="4"/>
      <c r="BH12" s="136">
        <f t="shared" si="11"/>
        <v>0</v>
      </c>
      <c r="BI12" s="3"/>
      <c r="BJ12" s="3"/>
      <c r="BK12" s="130">
        <f t="shared" si="12"/>
        <v>0</v>
      </c>
      <c r="BL12" s="3"/>
      <c r="BM12" s="4"/>
      <c r="BN12" s="140">
        <f t="shared" si="13"/>
        <v>0</v>
      </c>
      <c r="BO12" s="8"/>
      <c r="BP12" s="8"/>
      <c r="BQ12" s="121">
        <f t="shared" si="14"/>
        <v>0</v>
      </c>
      <c r="BR12" s="8"/>
      <c r="BS12" s="9"/>
      <c r="BT12" s="121">
        <f t="shared" si="39"/>
        <v>0</v>
      </c>
      <c r="BU12" s="121">
        <f t="shared" si="40"/>
        <v>0</v>
      </c>
      <c r="BV12" s="121">
        <f t="shared" si="41"/>
        <v>0</v>
      </c>
      <c r="BW12" s="121">
        <f t="shared" si="42"/>
        <v>0</v>
      </c>
      <c r="BX12" s="121">
        <f t="shared" si="43"/>
        <v>0</v>
      </c>
      <c r="BY12" s="121">
        <f t="shared" si="44"/>
        <v>0</v>
      </c>
      <c r="BZ12" s="131">
        <f t="shared" si="15"/>
        <v>0</v>
      </c>
      <c r="CA12" s="3"/>
      <c r="CB12" s="3"/>
      <c r="CC12" s="130">
        <f t="shared" si="16"/>
        <v>0</v>
      </c>
      <c r="CD12" s="3"/>
      <c r="CE12" s="4"/>
      <c r="CF12" s="136">
        <f t="shared" si="17"/>
        <v>0</v>
      </c>
      <c r="CG12" s="3"/>
      <c r="CH12" s="3"/>
      <c r="CI12" s="130">
        <f t="shared" si="18"/>
        <v>0</v>
      </c>
      <c r="CJ12" s="3"/>
      <c r="CK12" s="5"/>
      <c r="CL12" s="71" t="s">
        <v>63</v>
      </c>
    </row>
    <row r="13" spans="1:90" s="81" customFormat="1" ht="42" customHeight="1">
      <c r="A13" s="144" t="s">
        <v>7</v>
      </c>
      <c r="B13" s="200"/>
      <c r="C13" s="45">
        <f t="shared" si="0"/>
        <v>0</v>
      </c>
      <c r="D13" s="10">
        <f t="shared" si="1"/>
        <v>0</v>
      </c>
      <c r="E13" s="11"/>
      <c r="F13" s="50"/>
      <c r="G13" s="57"/>
      <c r="H13" s="57">
        <f t="shared" si="19"/>
        <v>11017000</v>
      </c>
      <c r="I13" s="61"/>
      <c r="J13" s="10">
        <f t="shared" si="2"/>
        <v>0</v>
      </c>
      <c r="K13" s="11"/>
      <c r="L13" s="50"/>
      <c r="M13" s="57"/>
      <c r="N13" s="55">
        <f t="shared" si="20"/>
        <v>60000</v>
      </c>
      <c r="O13" s="61"/>
      <c r="P13" s="119">
        <f t="shared" si="3"/>
        <v>11017000</v>
      </c>
      <c r="Q13" s="50">
        <f>4897000</f>
        <v>4897000</v>
      </c>
      <c r="R13" s="47">
        <f t="shared" si="21"/>
        <v>0</v>
      </c>
      <c r="S13" s="40">
        <f t="shared" si="4"/>
        <v>4897000</v>
      </c>
      <c r="T13" s="47">
        <f t="shared" si="22"/>
        <v>0</v>
      </c>
      <c r="U13" s="40">
        <f t="shared" si="5"/>
        <v>6120000</v>
      </c>
      <c r="V13" s="51">
        <f>4120000+2000000</f>
        <v>6120000</v>
      </c>
      <c r="W13" s="7">
        <f t="shared" si="6"/>
        <v>60000</v>
      </c>
      <c r="X13" s="51">
        <v>0</v>
      </c>
      <c r="Y13" s="48">
        <f t="shared" si="23"/>
        <v>0</v>
      </c>
      <c r="Z13" s="43">
        <f t="shared" si="7"/>
        <v>0</v>
      </c>
      <c r="AA13" s="48">
        <f t="shared" si="24"/>
        <v>0</v>
      </c>
      <c r="AB13" s="43">
        <f t="shared" si="8"/>
        <v>60000</v>
      </c>
      <c r="AC13" s="51">
        <f>60000</f>
        <v>60000</v>
      </c>
      <c r="AD13" s="124">
        <v>0</v>
      </c>
      <c r="AE13" s="121">
        <f t="shared" si="25"/>
        <v>0</v>
      </c>
      <c r="AF13" s="121">
        <f t="shared" si="26"/>
        <v>0</v>
      </c>
      <c r="AG13" s="121">
        <v>0</v>
      </c>
      <c r="AH13" s="121">
        <f t="shared" si="27"/>
        <v>0</v>
      </c>
      <c r="AI13" s="122">
        <f t="shared" si="28"/>
        <v>0</v>
      </c>
      <c r="AJ13" s="123">
        <f t="shared" si="29"/>
        <v>0</v>
      </c>
      <c r="AK13" s="3"/>
      <c r="AL13" s="3"/>
      <c r="AM13" s="130">
        <f t="shared" si="30"/>
        <v>0</v>
      </c>
      <c r="AN13" s="3"/>
      <c r="AO13" s="3"/>
      <c r="AP13" s="123">
        <f t="shared" si="31"/>
        <v>0</v>
      </c>
      <c r="AQ13" s="3"/>
      <c r="AR13" s="3"/>
      <c r="AS13" s="130">
        <f t="shared" si="32"/>
        <v>0</v>
      </c>
      <c r="AT13" s="3"/>
      <c r="AU13" s="3"/>
      <c r="AV13" s="120">
        <f t="shared" si="33"/>
        <v>0</v>
      </c>
      <c r="AW13" s="120">
        <f t="shared" si="34"/>
        <v>0</v>
      </c>
      <c r="AX13" s="120">
        <f t="shared" si="35"/>
        <v>0</v>
      </c>
      <c r="AY13" s="120">
        <f t="shared" si="36"/>
        <v>0</v>
      </c>
      <c r="AZ13" s="120">
        <f t="shared" si="37"/>
        <v>0</v>
      </c>
      <c r="BA13" s="120">
        <f t="shared" si="38"/>
        <v>0</v>
      </c>
      <c r="BB13" s="131">
        <v>0</v>
      </c>
      <c r="BC13" s="3"/>
      <c r="BD13" s="3"/>
      <c r="BE13" s="130">
        <v>0</v>
      </c>
      <c r="BF13" s="3"/>
      <c r="BG13" s="4"/>
      <c r="BH13" s="136">
        <f t="shared" si="11"/>
        <v>0</v>
      </c>
      <c r="BI13" s="3"/>
      <c r="BJ13" s="3"/>
      <c r="BK13" s="130">
        <f t="shared" si="12"/>
        <v>0</v>
      </c>
      <c r="BL13" s="3"/>
      <c r="BM13" s="4"/>
      <c r="BN13" s="140">
        <f t="shared" si="13"/>
        <v>0</v>
      </c>
      <c r="BO13" s="8"/>
      <c r="BP13" s="8"/>
      <c r="BQ13" s="121">
        <f t="shared" si="14"/>
        <v>0</v>
      </c>
      <c r="BR13" s="8"/>
      <c r="BS13" s="9"/>
      <c r="BT13" s="121">
        <f t="shared" si="39"/>
        <v>0</v>
      </c>
      <c r="BU13" s="121">
        <f t="shared" si="40"/>
        <v>0</v>
      </c>
      <c r="BV13" s="121">
        <f t="shared" si="41"/>
        <v>0</v>
      </c>
      <c r="BW13" s="121">
        <f t="shared" si="42"/>
        <v>0</v>
      </c>
      <c r="BX13" s="121">
        <f t="shared" si="43"/>
        <v>0</v>
      </c>
      <c r="BY13" s="121">
        <f t="shared" si="44"/>
        <v>0</v>
      </c>
      <c r="BZ13" s="131">
        <f t="shared" si="15"/>
        <v>0</v>
      </c>
      <c r="CA13" s="3"/>
      <c r="CB13" s="3"/>
      <c r="CC13" s="130">
        <f t="shared" si="16"/>
        <v>0</v>
      </c>
      <c r="CD13" s="3"/>
      <c r="CE13" s="4"/>
      <c r="CF13" s="136">
        <f t="shared" si="17"/>
        <v>0</v>
      </c>
      <c r="CG13" s="3"/>
      <c r="CH13" s="3"/>
      <c r="CI13" s="130">
        <f t="shared" si="18"/>
        <v>0</v>
      </c>
      <c r="CJ13" s="3"/>
      <c r="CK13" s="5"/>
      <c r="CL13" s="70" t="s">
        <v>61</v>
      </c>
    </row>
    <row r="14" spans="1:90" s="81" customFormat="1" ht="25.5" customHeight="1">
      <c r="A14" s="144" t="s">
        <v>8</v>
      </c>
      <c r="B14" s="200"/>
      <c r="C14" s="45">
        <f t="shared" si="0"/>
        <v>0</v>
      </c>
      <c r="D14" s="10">
        <f t="shared" si="1"/>
        <v>0</v>
      </c>
      <c r="E14" s="11"/>
      <c r="F14" s="50"/>
      <c r="G14" s="57"/>
      <c r="H14" s="57">
        <f t="shared" si="19"/>
        <v>8929300</v>
      </c>
      <c r="I14" s="61"/>
      <c r="J14" s="10">
        <f t="shared" si="2"/>
        <v>0</v>
      </c>
      <c r="K14" s="11"/>
      <c r="L14" s="51"/>
      <c r="M14" s="55"/>
      <c r="N14" s="55">
        <f t="shared" si="20"/>
        <v>684645.49</v>
      </c>
      <c r="O14" s="64"/>
      <c r="P14" s="119">
        <f t="shared" si="3"/>
        <v>8929300</v>
      </c>
      <c r="Q14" s="50">
        <f>4929300</f>
        <v>4929300</v>
      </c>
      <c r="R14" s="47">
        <f t="shared" si="21"/>
        <v>0</v>
      </c>
      <c r="S14" s="40">
        <f t="shared" si="4"/>
        <v>4929300</v>
      </c>
      <c r="T14" s="47">
        <f t="shared" si="22"/>
        <v>0</v>
      </c>
      <c r="U14" s="40">
        <f t="shared" si="5"/>
        <v>4000000</v>
      </c>
      <c r="V14" s="51">
        <f>4000000</f>
        <v>4000000</v>
      </c>
      <c r="W14" s="7">
        <f t="shared" si="6"/>
        <v>684645.49</v>
      </c>
      <c r="X14" s="51">
        <v>0</v>
      </c>
      <c r="Y14" s="48">
        <f t="shared" si="23"/>
        <v>0</v>
      </c>
      <c r="Z14" s="43">
        <f t="shared" si="7"/>
        <v>0</v>
      </c>
      <c r="AA14" s="48">
        <f t="shared" si="24"/>
        <v>0</v>
      </c>
      <c r="AB14" s="43">
        <f t="shared" si="8"/>
        <v>684645.49</v>
      </c>
      <c r="AC14" s="51">
        <f>684645.49</f>
        <v>684645.49</v>
      </c>
      <c r="AD14" s="124">
        <f aca="true" t="shared" si="45" ref="AD14:AD24">AE14+AF14</f>
        <v>0</v>
      </c>
      <c r="AE14" s="121">
        <f t="shared" si="25"/>
        <v>0</v>
      </c>
      <c r="AF14" s="121">
        <f t="shared" si="26"/>
        <v>0</v>
      </c>
      <c r="AG14" s="121">
        <f aca="true" t="shared" si="46" ref="AG14:AG24">AH14+AI14</f>
        <v>0</v>
      </c>
      <c r="AH14" s="121">
        <f t="shared" si="27"/>
        <v>0</v>
      </c>
      <c r="AI14" s="122">
        <f t="shared" si="28"/>
        <v>0</v>
      </c>
      <c r="AJ14" s="123">
        <f t="shared" si="29"/>
        <v>0</v>
      </c>
      <c r="AK14" s="3"/>
      <c r="AL14" s="3"/>
      <c r="AM14" s="130">
        <f t="shared" si="30"/>
        <v>0</v>
      </c>
      <c r="AN14" s="3"/>
      <c r="AO14" s="3"/>
      <c r="AP14" s="123">
        <f t="shared" si="31"/>
        <v>0</v>
      </c>
      <c r="AQ14" s="3"/>
      <c r="AR14" s="3"/>
      <c r="AS14" s="130">
        <f t="shared" si="32"/>
        <v>0</v>
      </c>
      <c r="AT14" s="3"/>
      <c r="AU14" s="3"/>
      <c r="AV14" s="120">
        <f t="shared" si="33"/>
        <v>0</v>
      </c>
      <c r="AW14" s="120">
        <f t="shared" si="34"/>
        <v>0</v>
      </c>
      <c r="AX14" s="120">
        <f t="shared" si="35"/>
        <v>0</v>
      </c>
      <c r="AY14" s="120">
        <f t="shared" si="36"/>
        <v>0</v>
      </c>
      <c r="AZ14" s="120">
        <f t="shared" si="37"/>
        <v>0</v>
      </c>
      <c r="BA14" s="120">
        <f t="shared" si="38"/>
        <v>0</v>
      </c>
      <c r="BB14" s="131">
        <f aca="true" t="shared" si="47" ref="BB14:BB24">BC14+BD14</f>
        <v>0</v>
      </c>
      <c r="BC14" s="3"/>
      <c r="BD14" s="3"/>
      <c r="BE14" s="130">
        <f aca="true" t="shared" si="48" ref="BE14:BE24">BF14+BG14</f>
        <v>0</v>
      </c>
      <c r="BF14" s="3"/>
      <c r="BG14" s="4"/>
      <c r="BH14" s="136">
        <f t="shared" si="11"/>
        <v>0</v>
      </c>
      <c r="BI14" s="3"/>
      <c r="BJ14" s="3"/>
      <c r="BK14" s="130">
        <f t="shared" si="12"/>
        <v>0</v>
      </c>
      <c r="BL14" s="3"/>
      <c r="BM14" s="4"/>
      <c r="BN14" s="140">
        <f t="shared" si="13"/>
        <v>0</v>
      </c>
      <c r="BO14" s="8"/>
      <c r="BP14" s="8"/>
      <c r="BQ14" s="121">
        <f t="shared" si="14"/>
        <v>0</v>
      </c>
      <c r="BR14" s="8"/>
      <c r="BS14" s="9"/>
      <c r="BT14" s="121">
        <f t="shared" si="39"/>
        <v>0</v>
      </c>
      <c r="BU14" s="121">
        <f t="shared" si="40"/>
        <v>0</v>
      </c>
      <c r="BV14" s="121">
        <f t="shared" si="41"/>
        <v>0</v>
      </c>
      <c r="BW14" s="121">
        <f t="shared" si="42"/>
        <v>0</v>
      </c>
      <c r="BX14" s="121">
        <f t="shared" si="43"/>
        <v>0</v>
      </c>
      <c r="BY14" s="121">
        <f t="shared" si="44"/>
        <v>0</v>
      </c>
      <c r="BZ14" s="131">
        <f t="shared" si="15"/>
        <v>0</v>
      </c>
      <c r="CA14" s="3"/>
      <c r="CB14" s="3"/>
      <c r="CC14" s="130">
        <f t="shared" si="16"/>
        <v>0</v>
      </c>
      <c r="CD14" s="3"/>
      <c r="CE14" s="4"/>
      <c r="CF14" s="136">
        <f t="shared" si="17"/>
        <v>0</v>
      </c>
      <c r="CG14" s="3"/>
      <c r="CH14" s="3"/>
      <c r="CI14" s="130">
        <f t="shared" si="18"/>
        <v>0</v>
      </c>
      <c r="CJ14" s="3"/>
      <c r="CK14" s="5"/>
      <c r="CL14" s="70" t="s">
        <v>51</v>
      </c>
    </row>
    <row r="15" spans="1:90" s="81" customFormat="1" ht="25.5" customHeight="1">
      <c r="A15" s="145" t="s">
        <v>17</v>
      </c>
      <c r="B15" s="201"/>
      <c r="C15" s="45">
        <f t="shared" si="0"/>
        <v>0</v>
      </c>
      <c r="D15" s="10">
        <f t="shared" si="1"/>
        <v>0</v>
      </c>
      <c r="E15" s="11"/>
      <c r="F15" s="50"/>
      <c r="G15" s="57"/>
      <c r="H15" s="57">
        <f t="shared" si="19"/>
        <v>314645261.36</v>
      </c>
      <c r="I15" s="61"/>
      <c r="J15" s="10">
        <f t="shared" si="2"/>
        <v>0</v>
      </c>
      <c r="K15" s="11"/>
      <c r="L15" s="52"/>
      <c r="M15" s="56"/>
      <c r="N15" s="55">
        <f t="shared" si="20"/>
        <v>20899155.68</v>
      </c>
      <c r="O15" s="65"/>
      <c r="P15" s="119">
        <f t="shared" si="3"/>
        <v>314645261.36</v>
      </c>
      <c r="Q15" s="50">
        <f>95737604+4260715.17</f>
        <v>99998319.17</v>
      </c>
      <c r="R15" s="47">
        <f t="shared" si="21"/>
        <v>0</v>
      </c>
      <c r="S15" s="40">
        <f t="shared" si="4"/>
        <v>99998319.17</v>
      </c>
      <c r="T15" s="47">
        <f t="shared" si="22"/>
        <v>0</v>
      </c>
      <c r="U15" s="40">
        <f t="shared" si="5"/>
        <v>214646942.19</v>
      </c>
      <c r="V15" s="52">
        <f>206967834.93+3184600+1336500+3258004-99996.74</f>
        <v>214646942.19</v>
      </c>
      <c r="W15" s="7">
        <f>X15+AC15</f>
        <v>20899155.68</v>
      </c>
      <c r="X15" s="52">
        <v>0</v>
      </c>
      <c r="Y15" s="48">
        <f t="shared" si="23"/>
        <v>0</v>
      </c>
      <c r="Z15" s="43">
        <f t="shared" si="7"/>
        <v>0</v>
      </c>
      <c r="AA15" s="48">
        <f t="shared" si="24"/>
        <v>0</v>
      </c>
      <c r="AB15" s="43">
        <f t="shared" si="8"/>
        <v>20899155.68</v>
      </c>
      <c r="AC15" s="52">
        <f>20899155.68</f>
        <v>20899155.68</v>
      </c>
      <c r="AD15" s="124">
        <f t="shared" si="45"/>
        <v>0</v>
      </c>
      <c r="AE15" s="121">
        <f t="shared" si="25"/>
        <v>0</v>
      </c>
      <c r="AF15" s="121">
        <f t="shared" si="26"/>
        <v>0</v>
      </c>
      <c r="AG15" s="121">
        <f t="shared" si="46"/>
        <v>0</v>
      </c>
      <c r="AH15" s="121">
        <f t="shared" si="27"/>
        <v>0</v>
      </c>
      <c r="AI15" s="122">
        <f t="shared" si="28"/>
        <v>0</v>
      </c>
      <c r="AJ15" s="123">
        <f t="shared" si="29"/>
        <v>0</v>
      </c>
      <c r="AK15" s="3"/>
      <c r="AL15" s="3"/>
      <c r="AM15" s="130">
        <f t="shared" si="30"/>
        <v>0</v>
      </c>
      <c r="AN15" s="3"/>
      <c r="AO15" s="3"/>
      <c r="AP15" s="123">
        <f t="shared" si="31"/>
        <v>0</v>
      </c>
      <c r="AQ15" s="3"/>
      <c r="AR15" s="3"/>
      <c r="AS15" s="130">
        <f t="shared" si="32"/>
        <v>0</v>
      </c>
      <c r="AT15" s="3"/>
      <c r="AU15" s="3"/>
      <c r="AV15" s="120">
        <f t="shared" si="33"/>
        <v>0</v>
      </c>
      <c r="AW15" s="120">
        <f t="shared" si="34"/>
        <v>0</v>
      </c>
      <c r="AX15" s="120">
        <f t="shared" si="35"/>
        <v>0</v>
      </c>
      <c r="AY15" s="120">
        <f t="shared" si="36"/>
        <v>0</v>
      </c>
      <c r="AZ15" s="120">
        <f t="shared" si="37"/>
        <v>0</v>
      </c>
      <c r="BA15" s="120">
        <f t="shared" si="38"/>
        <v>0</v>
      </c>
      <c r="BB15" s="131">
        <f t="shared" si="47"/>
        <v>0</v>
      </c>
      <c r="BC15" s="3"/>
      <c r="BD15" s="3"/>
      <c r="BE15" s="130">
        <f t="shared" si="48"/>
        <v>0</v>
      </c>
      <c r="BF15" s="3"/>
      <c r="BG15" s="4"/>
      <c r="BH15" s="136">
        <f t="shared" si="11"/>
        <v>0</v>
      </c>
      <c r="BI15" s="3"/>
      <c r="BJ15" s="3"/>
      <c r="BK15" s="130">
        <f t="shared" si="12"/>
        <v>0</v>
      </c>
      <c r="BL15" s="3"/>
      <c r="BM15" s="4"/>
      <c r="BN15" s="140">
        <f t="shared" si="13"/>
        <v>0</v>
      </c>
      <c r="BO15" s="8"/>
      <c r="BP15" s="8"/>
      <c r="BQ15" s="121">
        <f t="shared" si="14"/>
        <v>0</v>
      </c>
      <c r="BR15" s="8"/>
      <c r="BS15" s="9"/>
      <c r="BT15" s="121">
        <f t="shared" si="39"/>
        <v>0</v>
      </c>
      <c r="BU15" s="121">
        <f t="shared" si="40"/>
        <v>0</v>
      </c>
      <c r="BV15" s="121">
        <f t="shared" si="41"/>
        <v>0</v>
      </c>
      <c r="BW15" s="121">
        <f t="shared" si="42"/>
        <v>0</v>
      </c>
      <c r="BX15" s="121">
        <f t="shared" si="43"/>
        <v>0</v>
      </c>
      <c r="BY15" s="121">
        <f t="shared" si="44"/>
        <v>0</v>
      </c>
      <c r="BZ15" s="131">
        <f t="shared" si="15"/>
        <v>0</v>
      </c>
      <c r="CA15" s="3"/>
      <c r="CB15" s="3"/>
      <c r="CC15" s="130">
        <f t="shared" si="16"/>
        <v>0</v>
      </c>
      <c r="CD15" s="3"/>
      <c r="CE15" s="4"/>
      <c r="CF15" s="136">
        <f t="shared" si="17"/>
        <v>0</v>
      </c>
      <c r="CG15" s="3"/>
      <c r="CH15" s="3"/>
      <c r="CI15" s="130">
        <f t="shared" si="18"/>
        <v>0</v>
      </c>
      <c r="CJ15" s="3"/>
      <c r="CK15" s="5"/>
      <c r="CL15" s="70" t="s">
        <v>62</v>
      </c>
    </row>
    <row r="16" spans="1:90" s="81" customFormat="1" ht="21" customHeight="1">
      <c r="A16" s="145" t="s">
        <v>18</v>
      </c>
      <c r="B16" s="201"/>
      <c r="C16" s="45">
        <f t="shared" si="0"/>
        <v>0</v>
      </c>
      <c r="D16" s="10">
        <f t="shared" si="1"/>
        <v>0</v>
      </c>
      <c r="E16" s="12"/>
      <c r="F16" s="50"/>
      <c r="G16" s="57"/>
      <c r="H16" s="57">
        <f t="shared" si="19"/>
        <v>42016061.3</v>
      </c>
      <c r="I16" s="61"/>
      <c r="J16" s="10">
        <f t="shared" si="2"/>
        <v>0</v>
      </c>
      <c r="K16" s="12"/>
      <c r="L16" s="52"/>
      <c r="M16" s="56"/>
      <c r="N16" s="55">
        <f t="shared" si="20"/>
        <v>3508490.89</v>
      </c>
      <c r="O16" s="65"/>
      <c r="P16" s="119">
        <f t="shared" si="3"/>
        <v>42016061.3</v>
      </c>
      <c r="Q16" s="50">
        <f>4148700</f>
        <v>4148700</v>
      </c>
      <c r="R16" s="47">
        <f t="shared" si="21"/>
        <v>0</v>
      </c>
      <c r="S16" s="40">
        <f t="shared" si="4"/>
        <v>4148700</v>
      </c>
      <c r="T16" s="47">
        <f t="shared" si="22"/>
        <v>0</v>
      </c>
      <c r="U16" s="40">
        <f t="shared" si="5"/>
        <v>37867361.3</v>
      </c>
      <c r="V16" s="52">
        <f>25605161.3+12262200</f>
        <v>37867361.3</v>
      </c>
      <c r="W16" s="7">
        <f t="shared" si="6"/>
        <v>3508490.89</v>
      </c>
      <c r="X16" s="52">
        <v>0</v>
      </c>
      <c r="Y16" s="48">
        <f t="shared" si="23"/>
        <v>0</v>
      </c>
      <c r="Z16" s="43">
        <f t="shared" si="7"/>
        <v>0</v>
      </c>
      <c r="AA16" s="48">
        <f t="shared" si="24"/>
        <v>0</v>
      </c>
      <c r="AB16" s="43">
        <f t="shared" si="8"/>
        <v>3508490.89</v>
      </c>
      <c r="AC16" s="52">
        <f>3508490.89</f>
        <v>3508490.89</v>
      </c>
      <c r="AD16" s="124">
        <f t="shared" si="45"/>
        <v>0</v>
      </c>
      <c r="AE16" s="121">
        <f t="shared" si="25"/>
        <v>0</v>
      </c>
      <c r="AF16" s="121">
        <f t="shared" si="26"/>
        <v>0</v>
      </c>
      <c r="AG16" s="121">
        <f t="shared" si="46"/>
        <v>0</v>
      </c>
      <c r="AH16" s="121">
        <f t="shared" si="27"/>
        <v>0</v>
      </c>
      <c r="AI16" s="122">
        <f t="shared" si="28"/>
        <v>0</v>
      </c>
      <c r="AJ16" s="123">
        <f t="shared" si="29"/>
        <v>0</v>
      </c>
      <c r="AK16" s="3"/>
      <c r="AL16" s="3"/>
      <c r="AM16" s="130">
        <f t="shared" si="30"/>
        <v>0</v>
      </c>
      <c r="AN16" s="3"/>
      <c r="AO16" s="3"/>
      <c r="AP16" s="123">
        <f t="shared" si="31"/>
        <v>0</v>
      </c>
      <c r="AQ16" s="3"/>
      <c r="AR16" s="3"/>
      <c r="AS16" s="130">
        <f t="shared" si="32"/>
        <v>0</v>
      </c>
      <c r="AT16" s="3"/>
      <c r="AU16" s="3"/>
      <c r="AV16" s="120">
        <f t="shared" si="33"/>
        <v>0</v>
      </c>
      <c r="AW16" s="120">
        <f t="shared" si="34"/>
        <v>0</v>
      </c>
      <c r="AX16" s="120">
        <f t="shared" si="35"/>
        <v>0</v>
      </c>
      <c r="AY16" s="120">
        <f t="shared" si="36"/>
        <v>0</v>
      </c>
      <c r="AZ16" s="120">
        <f t="shared" si="37"/>
        <v>0</v>
      </c>
      <c r="BA16" s="120">
        <f t="shared" si="38"/>
        <v>0</v>
      </c>
      <c r="BB16" s="131">
        <f t="shared" si="47"/>
        <v>0</v>
      </c>
      <c r="BC16" s="3"/>
      <c r="BD16" s="3"/>
      <c r="BE16" s="130">
        <f t="shared" si="48"/>
        <v>0</v>
      </c>
      <c r="BF16" s="3"/>
      <c r="BG16" s="4"/>
      <c r="BH16" s="136">
        <f t="shared" si="11"/>
        <v>0</v>
      </c>
      <c r="BI16" s="3"/>
      <c r="BJ16" s="3"/>
      <c r="BK16" s="130">
        <f t="shared" si="12"/>
        <v>0</v>
      </c>
      <c r="BL16" s="3"/>
      <c r="BM16" s="4"/>
      <c r="BN16" s="140">
        <f t="shared" si="13"/>
        <v>0</v>
      </c>
      <c r="BO16" s="8"/>
      <c r="BP16" s="8"/>
      <c r="BQ16" s="121">
        <f t="shared" si="14"/>
        <v>0</v>
      </c>
      <c r="BR16" s="8"/>
      <c r="BS16" s="9"/>
      <c r="BT16" s="121">
        <f t="shared" si="39"/>
        <v>0</v>
      </c>
      <c r="BU16" s="121">
        <f t="shared" si="40"/>
        <v>0</v>
      </c>
      <c r="BV16" s="121">
        <f t="shared" si="41"/>
        <v>0</v>
      </c>
      <c r="BW16" s="121">
        <f t="shared" si="42"/>
        <v>0</v>
      </c>
      <c r="BX16" s="121">
        <f t="shared" si="43"/>
        <v>0</v>
      </c>
      <c r="BY16" s="121">
        <f t="shared" si="44"/>
        <v>0</v>
      </c>
      <c r="BZ16" s="131">
        <f t="shared" si="15"/>
        <v>0</v>
      </c>
      <c r="CA16" s="3"/>
      <c r="CB16" s="3"/>
      <c r="CC16" s="130">
        <f t="shared" si="16"/>
        <v>0</v>
      </c>
      <c r="CD16" s="3"/>
      <c r="CE16" s="4"/>
      <c r="CF16" s="136">
        <f t="shared" si="17"/>
        <v>0</v>
      </c>
      <c r="CG16" s="3"/>
      <c r="CH16" s="3"/>
      <c r="CI16" s="130">
        <f t="shared" si="18"/>
        <v>0</v>
      </c>
      <c r="CJ16" s="3"/>
      <c r="CK16" s="5"/>
      <c r="CL16" s="70" t="s">
        <v>50</v>
      </c>
    </row>
    <row r="17" spans="1:90" s="81" customFormat="1" ht="28.5" customHeight="1">
      <c r="A17" s="144" t="s">
        <v>9</v>
      </c>
      <c r="B17" s="200"/>
      <c r="C17" s="45">
        <f t="shared" si="0"/>
        <v>0</v>
      </c>
      <c r="D17" s="10">
        <f t="shared" si="1"/>
        <v>0</v>
      </c>
      <c r="E17" s="11"/>
      <c r="F17" s="50"/>
      <c r="G17" s="57"/>
      <c r="H17" s="57">
        <f t="shared" si="19"/>
        <v>13361549</v>
      </c>
      <c r="I17" s="61"/>
      <c r="J17" s="10">
        <f t="shared" si="2"/>
        <v>0</v>
      </c>
      <c r="K17" s="11"/>
      <c r="L17" s="51"/>
      <c r="M17" s="55"/>
      <c r="N17" s="55">
        <f t="shared" si="20"/>
        <v>790000</v>
      </c>
      <c r="O17" s="64"/>
      <c r="P17" s="119">
        <f t="shared" si="3"/>
        <v>13361549</v>
      </c>
      <c r="Q17" s="50">
        <f>956500</f>
        <v>956500</v>
      </c>
      <c r="R17" s="47">
        <f t="shared" si="21"/>
        <v>0</v>
      </c>
      <c r="S17" s="40">
        <f t="shared" si="4"/>
        <v>956500</v>
      </c>
      <c r="T17" s="47">
        <f t="shared" si="22"/>
        <v>0</v>
      </c>
      <c r="U17" s="40">
        <f t="shared" si="5"/>
        <v>12405049</v>
      </c>
      <c r="V17" s="51">
        <f>12405049</f>
        <v>12405049</v>
      </c>
      <c r="W17" s="7">
        <f t="shared" si="6"/>
        <v>790000</v>
      </c>
      <c r="X17" s="51">
        <v>0</v>
      </c>
      <c r="Y17" s="48">
        <f t="shared" si="23"/>
        <v>0</v>
      </c>
      <c r="Z17" s="43">
        <f t="shared" si="7"/>
        <v>0</v>
      </c>
      <c r="AA17" s="48">
        <f t="shared" si="24"/>
        <v>0</v>
      </c>
      <c r="AB17" s="43">
        <f t="shared" si="8"/>
        <v>790000</v>
      </c>
      <c r="AC17" s="11">
        <f>790000</f>
        <v>790000</v>
      </c>
      <c r="AD17" s="124">
        <f t="shared" si="45"/>
        <v>0</v>
      </c>
      <c r="AE17" s="121">
        <f t="shared" si="25"/>
        <v>0</v>
      </c>
      <c r="AF17" s="121">
        <f t="shared" si="26"/>
        <v>0</v>
      </c>
      <c r="AG17" s="121">
        <f t="shared" si="46"/>
        <v>0</v>
      </c>
      <c r="AH17" s="121">
        <f t="shared" si="27"/>
        <v>0</v>
      </c>
      <c r="AI17" s="122">
        <f t="shared" si="28"/>
        <v>0</v>
      </c>
      <c r="AJ17" s="123">
        <f t="shared" si="29"/>
        <v>0</v>
      </c>
      <c r="AK17" s="3"/>
      <c r="AL17" s="3"/>
      <c r="AM17" s="130">
        <f t="shared" si="30"/>
        <v>0</v>
      </c>
      <c r="AN17" s="3"/>
      <c r="AO17" s="3"/>
      <c r="AP17" s="123">
        <f t="shared" si="31"/>
        <v>0</v>
      </c>
      <c r="AQ17" s="3"/>
      <c r="AR17" s="3"/>
      <c r="AS17" s="130">
        <f t="shared" si="32"/>
        <v>0</v>
      </c>
      <c r="AT17" s="3"/>
      <c r="AU17" s="3"/>
      <c r="AV17" s="120">
        <f t="shared" si="33"/>
        <v>0</v>
      </c>
      <c r="AW17" s="120">
        <f t="shared" si="34"/>
        <v>0</v>
      </c>
      <c r="AX17" s="120">
        <f t="shared" si="35"/>
        <v>0</v>
      </c>
      <c r="AY17" s="120">
        <f t="shared" si="36"/>
        <v>0</v>
      </c>
      <c r="AZ17" s="120">
        <f t="shared" si="37"/>
        <v>0</v>
      </c>
      <c r="BA17" s="120">
        <f t="shared" si="38"/>
        <v>0</v>
      </c>
      <c r="BB17" s="131">
        <f t="shared" si="47"/>
        <v>0</v>
      </c>
      <c r="BC17" s="3"/>
      <c r="BD17" s="3"/>
      <c r="BE17" s="130">
        <f t="shared" si="48"/>
        <v>0</v>
      </c>
      <c r="BF17" s="3"/>
      <c r="BG17" s="4"/>
      <c r="BH17" s="136">
        <f t="shared" si="11"/>
        <v>0</v>
      </c>
      <c r="BI17" s="3"/>
      <c r="BJ17" s="3"/>
      <c r="BK17" s="130">
        <f t="shared" si="12"/>
        <v>0</v>
      </c>
      <c r="BL17" s="3"/>
      <c r="BM17" s="4"/>
      <c r="BN17" s="140">
        <f t="shared" si="13"/>
        <v>0</v>
      </c>
      <c r="BO17" s="8"/>
      <c r="BP17" s="8"/>
      <c r="BQ17" s="121">
        <f t="shared" si="14"/>
        <v>0</v>
      </c>
      <c r="BR17" s="8"/>
      <c r="BS17" s="9"/>
      <c r="BT17" s="121">
        <f t="shared" si="39"/>
        <v>0</v>
      </c>
      <c r="BU17" s="121">
        <f t="shared" si="40"/>
        <v>0</v>
      </c>
      <c r="BV17" s="121">
        <f t="shared" si="41"/>
        <v>0</v>
      </c>
      <c r="BW17" s="121">
        <f t="shared" si="42"/>
        <v>0</v>
      </c>
      <c r="BX17" s="121">
        <f t="shared" si="43"/>
        <v>0</v>
      </c>
      <c r="BY17" s="121">
        <f t="shared" si="44"/>
        <v>0</v>
      </c>
      <c r="BZ17" s="131">
        <f t="shared" si="15"/>
        <v>0</v>
      </c>
      <c r="CA17" s="3"/>
      <c r="CB17" s="3"/>
      <c r="CC17" s="130">
        <f t="shared" si="16"/>
        <v>0</v>
      </c>
      <c r="CD17" s="3"/>
      <c r="CE17" s="4"/>
      <c r="CF17" s="136">
        <f t="shared" si="17"/>
        <v>0</v>
      </c>
      <c r="CG17" s="3"/>
      <c r="CH17" s="3"/>
      <c r="CI17" s="130">
        <f t="shared" si="18"/>
        <v>0</v>
      </c>
      <c r="CJ17" s="3"/>
      <c r="CK17" s="5"/>
      <c r="CL17" s="70" t="s">
        <v>66</v>
      </c>
    </row>
    <row r="18" spans="1:90" s="81" customFormat="1" ht="30" customHeight="1">
      <c r="A18" s="144" t="s">
        <v>10</v>
      </c>
      <c r="B18" s="200"/>
      <c r="C18" s="45">
        <f t="shared" si="0"/>
        <v>0</v>
      </c>
      <c r="D18" s="10">
        <f t="shared" si="1"/>
        <v>0</v>
      </c>
      <c r="E18" s="11"/>
      <c r="F18" s="50"/>
      <c r="G18" s="57"/>
      <c r="H18" s="57">
        <f t="shared" si="19"/>
        <v>3825700</v>
      </c>
      <c r="I18" s="61"/>
      <c r="J18" s="10">
        <f t="shared" si="2"/>
        <v>0</v>
      </c>
      <c r="K18" s="11"/>
      <c r="L18" s="51"/>
      <c r="M18" s="55"/>
      <c r="N18" s="55">
        <f t="shared" si="20"/>
        <v>212000</v>
      </c>
      <c r="O18" s="64"/>
      <c r="P18" s="119">
        <f t="shared" si="3"/>
        <v>3825700</v>
      </c>
      <c r="Q18" s="50">
        <f>775700</f>
        <v>775700</v>
      </c>
      <c r="R18" s="47">
        <f t="shared" si="21"/>
        <v>0</v>
      </c>
      <c r="S18" s="40">
        <f t="shared" si="4"/>
        <v>775700</v>
      </c>
      <c r="T18" s="47">
        <f t="shared" si="22"/>
        <v>0</v>
      </c>
      <c r="U18" s="40">
        <f t="shared" si="5"/>
        <v>3050000</v>
      </c>
      <c r="V18" s="51">
        <f>3050000</f>
        <v>3050000</v>
      </c>
      <c r="W18" s="7">
        <f t="shared" si="6"/>
        <v>212000</v>
      </c>
      <c r="X18" s="51">
        <v>0</v>
      </c>
      <c r="Y18" s="48">
        <f t="shared" si="23"/>
        <v>0</v>
      </c>
      <c r="Z18" s="43">
        <f t="shared" si="7"/>
        <v>0</v>
      </c>
      <c r="AA18" s="48">
        <f t="shared" si="24"/>
        <v>0</v>
      </c>
      <c r="AB18" s="43">
        <f t="shared" si="8"/>
        <v>212000</v>
      </c>
      <c r="AC18" s="51">
        <v>212000</v>
      </c>
      <c r="AD18" s="124">
        <f t="shared" si="45"/>
        <v>0</v>
      </c>
      <c r="AE18" s="121">
        <f t="shared" si="25"/>
        <v>0</v>
      </c>
      <c r="AF18" s="121">
        <f t="shared" si="26"/>
        <v>0</v>
      </c>
      <c r="AG18" s="121">
        <f t="shared" si="46"/>
        <v>0</v>
      </c>
      <c r="AH18" s="121">
        <f t="shared" si="27"/>
        <v>0</v>
      </c>
      <c r="AI18" s="122">
        <f t="shared" si="28"/>
        <v>0</v>
      </c>
      <c r="AJ18" s="123">
        <f t="shared" si="29"/>
        <v>0</v>
      </c>
      <c r="AK18" s="3"/>
      <c r="AL18" s="3"/>
      <c r="AM18" s="130">
        <f t="shared" si="30"/>
        <v>0</v>
      </c>
      <c r="AN18" s="3"/>
      <c r="AO18" s="3"/>
      <c r="AP18" s="123">
        <f t="shared" si="31"/>
        <v>0</v>
      </c>
      <c r="AQ18" s="3"/>
      <c r="AR18" s="3"/>
      <c r="AS18" s="130">
        <f t="shared" si="32"/>
        <v>0</v>
      </c>
      <c r="AT18" s="3"/>
      <c r="AU18" s="3"/>
      <c r="AV18" s="120">
        <f t="shared" si="33"/>
        <v>0</v>
      </c>
      <c r="AW18" s="120">
        <f t="shared" si="34"/>
        <v>0</v>
      </c>
      <c r="AX18" s="120">
        <f t="shared" si="35"/>
        <v>0</v>
      </c>
      <c r="AY18" s="120">
        <f t="shared" si="36"/>
        <v>0</v>
      </c>
      <c r="AZ18" s="120">
        <f t="shared" si="37"/>
        <v>0</v>
      </c>
      <c r="BA18" s="120">
        <f t="shared" si="38"/>
        <v>0</v>
      </c>
      <c r="BB18" s="131">
        <f t="shared" si="47"/>
        <v>0</v>
      </c>
      <c r="BC18" s="3"/>
      <c r="BD18" s="3"/>
      <c r="BE18" s="130">
        <f t="shared" si="48"/>
        <v>0</v>
      </c>
      <c r="BF18" s="3"/>
      <c r="BG18" s="4"/>
      <c r="BH18" s="136">
        <f t="shared" si="11"/>
        <v>0</v>
      </c>
      <c r="BI18" s="3"/>
      <c r="BJ18" s="3"/>
      <c r="BK18" s="130">
        <f t="shared" si="12"/>
        <v>0</v>
      </c>
      <c r="BL18" s="3"/>
      <c r="BM18" s="4"/>
      <c r="BN18" s="140">
        <f t="shared" si="13"/>
        <v>0</v>
      </c>
      <c r="BO18" s="8"/>
      <c r="BP18" s="8"/>
      <c r="BQ18" s="121">
        <f t="shared" si="14"/>
        <v>0</v>
      </c>
      <c r="BR18" s="8"/>
      <c r="BS18" s="9"/>
      <c r="BT18" s="121">
        <f t="shared" si="39"/>
        <v>0</v>
      </c>
      <c r="BU18" s="121">
        <f t="shared" si="40"/>
        <v>0</v>
      </c>
      <c r="BV18" s="121">
        <f t="shared" si="41"/>
        <v>0</v>
      </c>
      <c r="BW18" s="121">
        <f t="shared" si="42"/>
        <v>0</v>
      </c>
      <c r="BX18" s="121">
        <f t="shared" si="43"/>
        <v>0</v>
      </c>
      <c r="BY18" s="121">
        <f t="shared" si="44"/>
        <v>0</v>
      </c>
      <c r="BZ18" s="131">
        <f t="shared" si="15"/>
        <v>0</v>
      </c>
      <c r="CA18" s="3"/>
      <c r="CB18" s="3"/>
      <c r="CC18" s="130">
        <f t="shared" si="16"/>
        <v>0</v>
      </c>
      <c r="CD18" s="3"/>
      <c r="CE18" s="20"/>
      <c r="CF18" s="136">
        <f t="shared" si="17"/>
        <v>0</v>
      </c>
      <c r="CG18" s="3"/>
      <c r="CH18" s="3"/>
      <c r="CI18" s="130">
        <f t="shared" si="18"/>
        <v>0</v>
      </c>
      <c r="CJ18" s="3"/>
      <c r="CK18" s="5"/>
      <c r="CL18" s="70" t="s">
        <v>55</v>
      </c>
    </row>
    <row r="19" spans="1:90" s="81" customFormat="1" ht="32.25" customHeight="1">
      <c r="A19" s="145" t="s">
        <v>11</v>
      </c>
      <c r="B19" s="201"/>
      <c r="C19" s="45">
        <f t="shared" si="0"/>
        <v>0</v>
      </c>
      <c r="D19" s="10">
        <f t="shared" si="1"/>
        <v>0</v>
      </c>
      <c r="E19" s="11"/>
      <c r="F19" s="50"/>
      <c r="G19" s="57"/>
      <c r="H19" s="57">
        <f t="shared" si="19"/>
        <v>14328800</v>
      </c>
      <c r="I19" s="61"/>
      <c r="J19" s="10">
        <f t="shared" si="2"/>
        <v>0</v>
      </c>
      <c r="K19" s="11"/>
      <c r="L19" s="52"/>
      <c r="M19" s="56"/>
      <c r="N19" s="55">
        <f t="shared" si="20"/>
        <v>1427680</v>
      </c>
      <c r="O19" s="65"/>
      <c r="P19" s="119">
        <f t="shared" si="3"/>
        <v>14328800</v>
      </c>
      <c r="Q19" s="50">
        <f>1028800</f>
        <v>1028800</v>
      </c>
      <c r="R19" s="47">
        <f t="shared" si="21"/>
        <v>0</v>
      </c>
      <c r="S19" s="40">
        <f t="shared" si="4"/>
        <v>1028800</v>
      </c>
      <c r="T19" s="47">
        <f t="shared" si="22"/>
        <v>0</v>
      </c>
      <c r="U19" s="40">
        <f t="shared" si="5"/>
        <v>13300000</v>
      </c>
      <c r="V19" s="52">
        <f>12177500+1072500+50000</f>
        <v>13300000</v>
      </c>
      <c r="W19" s="7">
        <f t="shared" si="6"/>
        <v>1427680</v>
      </c>
      <c r="X19" s="52">
        <v>0</v>
      </c>
      <c r="Y19" s="48">
        <f t="shared" si="23"/>
        <v>0</v>
      </c>
      <c r="Z19" s="43">
        <f t="shared" si="7"/>
        <v>0</v>
      </c>
      <c r="AA19" s="48">
        <f t="shared" si="24"/>
        <v>0</v>
      </c>
      <c r="AB19" s="43">
        <f t="shared" si="8"/>
        <v>1427680</v>
      </c>
      <c r="AC19" s="52">
        <f>1427680</f>
        <v>1427680</v>
      </c>
      <c r="AD19" s="124">
        <f t="shared" si="45"/>
        <v>0</v>
      </c>
      <c r="AE19" s="121">
        <f t="shared" si="25"/>
        <v>0</v>
      </c>
      <c r="AF19" s="121">
        <f t="shared" si="26"/>
        <v>0</v>
      </c>
      <c r="AG19" s="121">
        <f t="shared" si="46"/>
        <v>0</v>
      </c>
      <c r="AH19" s="121">
        <f t="shared" si="27"/>
        <v>0</v>
      </c>
      <c r="AI19" s="122">
        <f t="shared" si="28"/>
        <v>0</v>
      </c>
      <c r="AJ19" s="123">
        <f t="shared" si="29"/>
        <v>0</v>
      </c>
      <c r="AK19" s="3"/>
      <c r="AL19" s="3"/>
      <c r="AM19" s="130">
        <f t="shared" si="30"/>
        <v>0</v>
      </c>
      <c r="AN19" s="3"/>
      <c r="AO19" s="3"/>
      <c r="AP19" s="123">
        <f t="shared" si="31"/>
        <v>0</v>
      </c>
      <c r="AQ19" s="3"/>
      <c r="AR19" s="3"/>
      <c r="AS19" s="130">
        <f t="shared" si="32"/>
        <v>0</v>
      </c>
      <c r="AT19" s="3"/>
      <c r="AU19" s="3"/>
      <c r="AV19" s="120">
        <f t="shared" si="33"/>
        <v>0</v>
      </c>
      <c r="AW19" s="120">
        <f t="shared" si="34"/>
        <v>0</v>
      </c>
      <c r="AX19" s="120">
        <f t="shared" si="35"/>
        <v>0</v>
      </c>
      <c r="AY19" s="120">
        <f t="shared" si="36"/>
        <v>0</v>
      </c>
      <c r="AZ19" s="120">
        <f t="shared" si="37"/>
        <v>0</v>
      </c>
      <c r="BA19" s="120">
        <f t="shared" si="38"/>
        <v>0</v>
      </c>
      <c r="BB19" s="131">
        <f t="shared" si="47"/>
        <v>0</v>
      </c>
      <c r="BC19" s="3"/>
      <c r="BD19" s="3"/>
      <c r="BE19" s="130">
        <f t="shared" si="48"/>
        <v>0</v>
      </c>
      <c r="BF19" s="3"/>
      <c r="BG19" s="4"/>
      <c r="BH19" s="136">
        <f t="shared" si="11"/>
        <v>0</v>
      </c>
      <c r="BI19" s="3"/>
      <c r="BJ19" s="3"/>
      <c r="BK19" s="130">
        <f t="shared" si="12"/>
        <v>0</v>
      </c>
      <c r="BL19" s="3"/>
      <c r="BM19" s="4"/>
      <c r="BN19" s="140">
        <f t="shared" si="13"/>
        <v>0</v>
      </c>
      <c r="BO19" s="8"/>
      <c r="BP19" s="8"/>
      <c r="BQ19" s="121">
        <f t="shared" si="14"/>
        <v>0</v>
      </c>
      <c r="BR19" s="8"/>
      <c r="BS19" s="9"/>
      <c r="BT19" s="121">
        <f t="shared" si="39"/>
        <v>0</v>
      </c>
      <c r="BU19" s="121">
        <f t="shared" si="40"/>
        <v>0</v>
      </c>
      <c r="BV19" s="121">
        <f t="shared" si="41"/>
        <v>0</v>
      </c>
      <c r="BW19" s="121">
        <f t="shared" si="42"/>
        <v>0</v>
      </c>
      <c r="BX19" s="121">
        <f t="shared" si="43"/>
        <v>0</v>
      </c>
      <c r="BY19" s="121">
        <f t="shared" si="44"/>
        <v>0</v>
      </c>
      <c r="BZ19" s="131">
        <f t="shared" si="15"/>
        <v>0</v>
      </c>
      <c r="CA19" s="3"/>
      <c r="CB19" s="3"/>
      <c r="CC19" s="130">
        <f t="shared" si="16"/>
        <v>0</v>
      </c>
      <c r="CD19" s="3"/>
      <c r="CE19" s="4"/>
      <c r="CF19" s="136">
        <f t="shared" si="17"/>
        <v>0</v>
      </c>
      <c r="CG19" s="3"/>
      <c r="CH19" s="3"/>
      <c r="CI19" s="130">
        <f t="shared" si="18"/>
        <v>0</v>
      </c>
      <c r="CJ19" s="3"/>
      <c r="CK19" s="5"/>
      <c r="CL19" s="70" t="s">
        <v>65</v>
      </c>
    </row>
    <row r="20" spans="1:90" s="81" customFormat="1" ht="25.5" customHeight="1">
      <c r="A20" s="145" t="s">
        <v>12</v>
      </c>
      <c r="B20" s="201"/>
      <c r="C20" s="45">
        <f t="shared" si="0"/>
        <v>0</v>
      </c>
      <c r="D20" s="10">
        <f t="shared" si="1"/>
        <v>0</v>
      </c>
      <c r="E20" s="12"/>
      <c r="F20" s="50"/>
      <c r="G20" s="57"/>
      <c r="H20" s="57">
        <f t="shared" si="19"/>
        <v>23521892</v>
      </c>
      <c r="I20" s="61"/>
      <c r="J20" s="10">
        <f t="shared" si="2"/>
        <v>0</v>
      </c>
      <c r="K20" s="12"/>
      <c r="L20" s="52"/>
      <c r="M20" s="56"/>
      <c r="N20" s="55">
        <f t="shared" si="20"/>
        <v>990000</v>
      </c>
      <c r="O20" s="65"/>
      <c r="P20" s="119">
        <f t="shared" si="3"/>
        <v>23521892</v>
      </c>
      <c r="Q20" s="50">
        <f>13810892+6711000</f>
        <v>20521892</v>
      </c>
      <c r="R20" s="47">
        <f t="shared" si="21"/>
        <v>20521892</v>
      </c>
      <c r="S20" s="40">
        <f t="shared" si="4"/>
        <v>0</v>
      </c>
      <c r="T20" s="47">
        <f t="shared" si="22"/>
        <v>3000000</v>
      </c>
      <c r="U20" s="40">
        <f t="shared" si="5"/>
        <v>0</v>
      </c>
      <c r="V20" s="52">
        <f>3000000</f>
        <v>3000000</v>
      </c>
      <c r="W20" s="7">
        <f t="shared" si="6"/>
        <v>990000</v>
      </c>
      <c r="X20" s="52">
        <v>0</v>
      </c>
      <c r="Y20" s="48">
        <f t="shared" si="23"/>
        <v>0</v>
      </c>
      <c r="Z20" s="43">
        <f t="shared" si="7"/>
        <v>0</v>
      </c>
      <c r="AA20" s="48">
        <f t="shared" si="24"/>
        <v>990000</v>
      </c>
      <c r="AB20" s="43">
        <f t="shared" si="8"/>
        <v>0</v>
      </c>
      <c r="AC20" s="52">
        <f>990000</f>
        <v>990000</v>
      </c>
      <c r="AD20" s="125">
        <f t="shared" si="45"/>
        <v>16589359</v>
      </c>
      <c r="AE20" s="121">
        <f t="shared" si="25"/>
        <v>16128292</v>
      </c>
      <c r="AF20" s="121">
        <f t="shared" si="26"/>
        <v>461067</v>
      </c>
      <c r="AG20" s="126">
        <f t="shared" si="46"/>
        <v>0</v>
      </c>
      <c r="AH20" s="121">
        <f t="shared" si="27"/>
        <v>0</v>
      </c>
      <c r="AI20" s="122">
        <f t="shared" si="28"/>
        <v>0</v>
      </c>
      <c r="AJ20" s="123">
        <f t="shared" si="29"/>
        <v>14523859</v>
      </c>
      <c r="AK20" s="17">
        <v>14177792</v>
      </c>
      <c r="AL20" s="17">
        <v>346067</v>
      </c>
      <c r="AM20" s="130">
        <f t="shared" si="30"/>
        <v>0</v>
      </c>
      <c r="AN20" s="17"/>
      <c r="AO20" s="17"/>
      <c r="AP20" s="123">
        <f t="shared" si="31"/>
        <v>2065500</v>
      </c>
      <c r="AQ20" s="17">
        <v>1950500</v>
      </c>
      <c r="AR20" s="17">
        <v>115000</v>
      </c>
      <c r="AS20" s="130">
        <f t="shared" si="32"/>
        <v>0</v>
      </c>
      <c r="AT20" s="17"/>
      <c r="AU20" s="17"/>
      <c r="AV20" s="120">
        <f t="shared" si="33"/>
        <v>4758600</v>
      </c>
      <c r="AW20" s="120">
        <f t="shared" si="34"/>
        <v>4393600</v>
      </c>
      <c r="AX20" s="120">
        <f t="shared" si="35"/>
        <v>365000</v>
      </c>
      <c r="AY20" s="120">
        <f t="shared" si="36"/>
        <v>0</v>
      </c>
      <c r="AZ20" s="120">
        <f t="shared" si="37"/>
        <v>0</v>
      </c>
      <c r="BA20" s="120">
        <f t="shared" si="38"/>
        <v>0</v>
      </c>
      <c r="BB20" s="132">
        <f t="shared" si="47"/>
        <v>0</v>
      </c>
      <c r="BC20" s="17"/>
      <c r="BD20" s="17"/>
      <c r="BE20" s="134">
        <f t="shared" si="48"/>
        <v>0</v>
      </c>
      <c r="BF20" s="17"/>
      <c r="BG20" s="18"/>
      <c r="BH20" s="137">
        <f t="shared" si="11"/>
        <v>4758600</v>
      </c>
      <c r="BI20" s="17">
        <v>4393600</v>
      </c>
      <c r="BJ20" s="17">
        <v>365000</v>
      </c>
      <c r="BK20" s="134">
        <f t="shared" si="12"/>
        <v>0</v>
      </c>
      <c r="BL20" s="17"/>
      <c r="BM20" s="18"/>
      <c r="BN20" s="140">
        <f t="shared" si="13"/>
        <v>0</v>
      </c>
      <c r="BO20" s="15"/>
      <c r="BP20" s="15"/>
      <c r="BQ20" s="121">
        <f t="shared" si="14"/>
        <v>0</v>
      </c>
      <c r="BR20" s="15"/>
      <c r="BS20" s="16"/>
      <c r="BT20" s="121">
        <f t="shared" si="39"/>
        <v>2173933</v>
      </c>
      <c r="BU20" s="121">
        <f t="shared" si="40"/>
        <v>0</v>
      </c>
      <c r="BV20" s="121">
        <f t="shared" si="41"/>
        <v>2173933</v>
      </c>
      <c r="BW20" s="121">
        <f t="shared" si="42"/>
        <v>990000</v>
      </c>
      <c r="BX20" s="121">
        <f t="shared" si="43"/>
        <v>0</v>
      </c>
      <c r="BY20" s="121">
        <f t="shared" si="44"/>
        <v>990000</v>
      </c>
      <c r="BZ20" s="131">
        <f t="shared" si="15"/>
        <v>2000000</v>
      </c>
      <c r="CA20" s="17"/>
      <c r="CB20" s="17">
        <v>2000000</v>
      </c>
      <c r="CC20" s="130">
        <f t="shared" si="16"/>
        <v>990000</v>
      </c>
      <c r="CD20" s="17"/>
      <c r="CE20" s="18">
        <v>990000</v>
      </c>
      <c r="CF20" s="136">
        <f t="shared" si="17"/>
        <v>173933</v>
      </c>
      <c r="CG20" s="17"/>
      <c r="CH20" s="17">
        <v>173933</v>
      </c>
      <c r="CI20" s="130">
        <f t="shared" si="18"/>
        <v>0</v>
      </c>
      <c r="CJ20" s="17"/>
      <c r="CK20" s="22"/>
      <c r="CL20" s="72" t="s">
        <v>52</v>
      </c>
    </row>
    <row r="21" spans="1:90" s="81" customFormat="1" ht="18.75" customHeight="1">
      <c r="A21" s="144" t="s">
        <v>13</v>
      </c>
      <c r="B21" s="200"/>
      <c r="C21" s="45">
        <f t="shared" si="0"/>
        <v>0</v>
      </c>
      <c r="D21" s="10">
        <f t="shared" si="1"/>
        <v>0</v>
      </c>
      <c r="E21" s="11"/>
      <c r="F21" s="50"/>
      <c r="G21" s="57"/>
      <c r="H21" s="57">
        <f t="shared" si="19"/>
        <v>16345600</v>
      </c>
      <c r="I21" s="61"/>
      <c r="J21" s="10">
        <f t="shared" si="2"/>
        <v>0</v>
      </c>
      <c r="K21" s="11"/>
      <c r="L21" s="51"/>
      <c r="M21" s="55"/>
      <c r="N21" s="55">
        <f t="shared" si="20"/>
        <v>2241578.76</v>
      </c>
      <c r="O21" s="64"/>
      <c r="P21" s="119">
        <f t="shared" si="3"/>
        <v>16345600</v>
      </c>
      <c r="Q21" s="50">
        <f>577500+2057600</f>
        <v>2635100</v>
      </c>
      <c r="R21" s="47">
        <f t="shared" si="21"/>
        <v>0</v>
      </c>
      <c r="S21" s="40">
        <f t="shared" si="4"/>
        <v>2635100</v>
      </c>
      <c r="T21" s="47">
        <f t="shared" si="22"/>
        <v>0</v>
      </c>
      <c r="U21" s="40">
        <f t="shared" si="5"/>
        <v>13710500</v>
      </c>
      <c r="V21" s="51">
        <f>11000000+2710500</f>
        <v>13710500</v>
      </c>
      <c r="W21" s="7">
        <f t="shared" si="6"/>
        <v>2241578.76</v>
      </c>
      <c r="X21" s="51">
        <v>0</v>
      </c>
      <c r="Y21" s="48">
        <f t="shared" si="23"/>
        <v>0</v>
      </c>
      <c r="Z21" s="43">
        <f t="shared" si="7"/>
        <v>0</v>
      </c>
      <c r="AA21" s="48">
        <f t="shared" si="24"/>
        <v>0</v>
      </c>
      <c r="AB21" s="43">
        <f t="shared" si="8"/>
        <v>2241578.76</v>
      </c>
      <c r="AC21" s="51">
        <f>2241578.76</f>
        <v>2241578.76</v>
      </c>
      <c r="AD21" s="124">
        <f t="shared" si="45"/>
        <v>0</v>
      </c>
      <c r="AE21" s="121">
        <f t="shared" si="25"/>
        <v>0</v>
      </c>
      <c r="AF21" s="121">
        <f t="shared" si="26"/>
        <v>0</v>
      </c>
      <c r="AG21" s="121">
        <f t="shared" si="46"/>
        <v>0</v>
      </c>
      <c r="AH21" s="121">
        <f t="shared" si="27"/>
        <v>0</v>
      </c>
      <c r="AI21" s="122">
        <f t="shared" si="28"/>
        <v>0</v>
      </c>
      <c r="AJ21" s="123">
        <f t="shared" si="29"/>
        <v>0</v>
      </c>
      <c r="AK21" s="3"/>
      <c r="AL21" s="3"/>
      <c r="AM21" s="130">
        <f t="shared" si="30"/>
        <v>0</v>
      </c>
      <c r="AN21" s="3"/>
      <c r="AO21" s="3"/>
      <c r="AP21" s="123">
        <f t="shared" si="31"/>
        <v>0</v>
      </c>
      <c r="AQ21" s="3"/>
      <c r="AR21" s="3"/>
      <c r="AS21" s="130">
        <f t="shared" si="32"/>
        <v>0</v>
      </c>
      <c r="AT21" s="3"/>
      <c r="AU21" s="3"/>
      <c r="AV21" s="120">
        <f t="shared" si="33"/>
        <v>0</v>
      </c>
      <c r="AW21" s="120">
        <f t="shared" si="34"/>
        <v>0</v>
      </c>
      <c r="AX21" s="120">
        <f t="shared" si="35"/>
        <v>0</v>
      </c>
      <c r="AY21" s="120">
        <f t="shared" si="36"/>
        <v>0</v>
      </c>
      <c r="AZ21" s="120">
        <f t="shared" si="37"/>
        <v>0</v>
      </c>
      <c r="BA21" s="120">
        <f t="shared" si="38"/>
        <v>0</v>
      </c>
      <c r="BB21" s="131">
        <f t="shared" si="47"/>
        <v>0</v>
      </c>
      <c r="BC21" s="3"/>
      <c r="BD21" s="3"/>
      <c r="BE21" s="130">
        <f t="shared" si="48"/>
        <v>0</v>
      </c>
      <c r="BF21" s="3"/>
      <c r="BG21" s="4"/>
      <c r="BH21" s="136">
        <f t="shared" si="11"/>
        <v>0</v>
      </c>
      <c r="BI21" s="3"/>
      <c r="BJ21" s="3"/>
      <c r="BK21" s="130">
        <f t="shared" si="12"/>
        <v>0</v>
      </c>
      <c r="BL21" s="3"/>
      <c r="BM21" s="4"/>
      <c r="BN21" s="140">
        <f t="shared" si="13"/>
        <v>0</v>
      </c>
      <c r="BO21" s="8"/>
      <c r="BP21" s="8"/>
      <c r="BQ21" s="121">
        <f t="shared" si="14"/>
        <v>0</v>
      </c>
      <c r="BR21" s="8"/>
      <c r="BS21" s="9"/>
      <c r="BT21" s="121">
        <f t="shared" si="39"/>
        <v>0</v>
      </c>
      <c r="BU21" s="121">
        <f t="shared" si="40"/>
        <v>0</v>
      </c>
      <c r="BV21" s="121">
        <f t="shared" si="41"/>
        <v>0</v>
      </c>
      <c r="BW21" s="121">
        <f t="shared" si="42"/>
        <v>0</v>
      </c>
      <c r="BX21" s="121">
        <f t="shared" si="43"/>
        <v>0</v>
      </c>
      <c r="BY21" s="121">
        <f t="shared" si="44"/>
        <v>0</v>
      </c>
      <c r="BZ21" s="131">
        <f t="shared" si="15"/>
        <v>0</v>
      </c>
      <c r="CA21" s="3"/>
      <c r="CB21" s="3"/>
      <c r="CC21" s="130">
        <f t="shared" si="16"/>
        <v>0</v>
      </c>
      <c r="CD21" s="3"/>
      <c r="CE21" s="4"/>
      <c r="CF21" s="136">
        <f t="shared" si="17"/>
        <v>0</v>
      </c>
      <c r="CG21" s="3"/>
      <c r="CH21" s="3"/>
      <c r="CI21" s="130">
        <f t="shared" si="18"/>
        <v>0</v>
      </c>
      <c r="CJ21" s="3"/>
      <c r="CK21" s="5"/>
      <c r="CL21" s="70" t="s">
        <v>51</v>
      </c>
    </row>
    <row r="22" spans="1:90" s="81" customFormat="1" ht="39.75" customHeight="1">
      <c r="A22" s="144" t="s">
        <v>14</v>
      </c>
      <c r="B22" s="200"/>
      <c r="C22" s="45">
        <f t="shared" si="0"/>
        <v>0</v>
      </c>
      <c r="D22" s="10">
        <f t="shared" si="1"/>
        <v>0</v>
      </c>
      <c r="E22" s="11"/>
      <c r="F22" s="50"/>
      <c r="G22" s="57"/>
      <c r="H22" s="57">
        <f t="shared" si="19"/>
        <v>15470500</v>
      </c>
      <c r="I22" s="61"/>
      <c r="J22" s="10">
        <f t="shared" si="2"/>
        <v>0</v>
      </c>
      <c r="K22" s="11"/>
      <c r="L22" s="51"/>
      <c r="M22" s="55"/>
      <c r="N22" s="55">
        <f t="shared" si="20"/>
        <v>830150.85</v>
      </c>
      <c r="O22" s="64"/>
      <c r="P22" s="119">
        <f t="shared" si="3"/>
        <v>15470500</v>
      </c>
      <c r="Q22" s="50">
        <f>1028800</f>
        <v>1028800</v>
      </c>
      <c r="R22" s="47">
        <f t="shared" si="21"/>
        <v>0</v>
      </c>
      <c r="S22" s="40">
        <f t="shared" si="4"/>
        <v>1028800</v>
      </c>
      <c r="T22" s="47">
        <f t="shared" si="22"/>
        <v>0</v>
      </c>
      <c r="U22" s="40">
        <f t="shared" si="5"/>
        <v>14441700</v>
      </c>
      <c r="V22" s="51">
        <f>13050000+1391700</f>
        <v>14441700</v>
      </c>
      <c r="W22" s="7">
        <f t="shared" si="6"/>
        <v>830150.85</v>
      </c>
      <c r="X22" s="51">
        <v>0</v>
      </c>
      <c r="Y22" s="48">
        <f t="shared" si="23"/>
        <v>0</v>
      </c>
      <c r="Z22" s="43">
        <f t="shared" si="7"/>
        <v>0</v>
      </c>
      <c r="AA22" s="48">
        <f t="shared" si="24"/>
        <v>0</v>
      </c>
      <c r="AB22" s="43">
        <f t="shared" si="8"/>
        <v>830150.85</v>
      </c>
      <c r="AC22" s="51">
        <f>830150.85</f>
        <v>830150.85</v>
      </c>
      <c r="AD22" s="124">
        <f t="shared" si="45"/>
        <v>0</v>
      </c>
      <c r="AE22" s="121">
        <f t="shared" si="25"/>
        <v>0</v>
      </c>
      <c r="AF22" s="121">
        <f t="shared" si="26"/>
        <v>0</v>
      </c>
      <c r="AG22" s="121">
        <f t="shared" si="46"/>
        <v>0</v>
      </c>
      <c r="AH22" s="121">
        <f t="shared" si="27"/>
        <v>0</v>
      </c>
      <c r="AI22" s="122">
        <f t="shared" si="28"/>
        <v>0</v>
      </c>
      <c r="AJ22" s="123">
        <f t="shared" si="29"/>
        <v>0</v>
      </c>
      <c r="AK22" s="23"/>
      <c r="AL22" s="23"/>
      <c r="AM22" s="130">
        <f t="shared" si="30"/>
        <v>0</v>
      </c>
      <c r="AN22" s="23"/>
      <c r="AO22" s="23"/>
      <c r="AP22" s="123">
        <f t="shared" si="31"/>
        <v>0</v>
      </c>
      <c r="AQ22" s="23"/>
      <c r="AR22" s="23"/>
      <c r="AS22" s="130">
        <f t="shared" si="32"/>
        <v>0</v>
      </c>
      <c r="AT22" s="23"/>
      <c r="AU22" s="23"/>
      <c r="AV22" s="120">
        <f t="shared" si="33"/>
        <v>0</v>
      </c>
      <c r="AW22" s="120">
        <f t="shared" si="34"/>
        <v>0</v>
      </c>
      <c r="AX22" s="120">
        <f t="shared" si="35"/>
        <v>0</v>
      </c>
      <c r="AY22" s="120">
        <f t="shared" si="36"/>
        <v>0</v>
      </c>
      <c r="AZ22" s="120">
        <f t="shared" si="37"/>
        <v>0</v>
      </c>
      <c r="BA22" s="120">
        <f t="shared" si="38"/>
        <v>0</v>
      </c>
      <c r="BB22" s="131">
        <f t="shared" si="47"/>
        <v>0</v>
      </c>
      <c r="BC22" s="23"/>
      <c r="BD22" s="23"/>
      <c r="BE22" s="130">
        <f t="shared" si="48"/>
        <v>0</v>
      </c>
      <c r="BF22" s="23"/>
      <c r="BG22" s="23"/>
      <c r="BH22" s="136">
        <f t="shared" si="11"/>
        <v>0</v>
      </c>
      <c r="BI22" s="23"/>
      <c r="BJ22" s="23"/>
      <c r="BK22" s="130">
        <f t="shared" si="12"/>
        <v>0</v>
      </c>
      <c r="BL22" s="23"/>
      <c r="BM22" s="24"/>
      <c r="BN22" s="140">
        <f t="shared" si="13"/>
        <v>0</v>
      </c>
      <c r="BO22" s="25"/>
      <c r="BP22" s="25"/>
      <c r="BQ22" s="121">
        <f t="shared" si="14"/>
        <v>0</v>
      </c>
      <c r="BR22" s="25"/>
      <c r="BS22" s="26"/>
      <c r="BT22" s="121">
        <f t="shared" si="39"/>
        <v>0</v>
      </c>
      <c r="BU22" s="121">
        <f t="shared" si="40"/>
        <v>0</v>
      </c>
      <c r="BV22" s="121">
        <f t="shared" si="41"/>
        <v>0</v>
      </c>
      <c r="BW22" s="121">
        <f t="shared" si="42"/>
        <v>0</v>
      </c>
      <c r="BX22" s="121">
        <f t="shared" si="43"/>
        <v>0</v>
      </c>
      <c r="BY22" s="121">
        <f t="shared" si="44"/>
        <v>0</v>
      </c>
      <c r="BZ22" s="131">
        <f t="shared" si="15"/>
        <v>0</v>
      </c>
      <c r="CA22" s="23"/>
      <c r="CB22" s="23"/>
      <c r="CC22" s="130">
        <f t="shared" si="16"/>
        <v>0</v>
      </c>
      <c r="CD22" s="23"/>
      <c r="CE22" s="24"/>
      <c r="CF22" s="136">
        <f t="shared" si="17"/>
        <v>0</v>
      </c>
      <c r="CG22" s="23"/>
      <c r="CH22" s="23"/>
      <c r="CI22" s="130">
        <f t="shared" si="18"/>
        <v>0</v>
      </c>
      <c r="CJ22" s="23"/>
      <c r="CK22" s="27"/>
      <c r="CL22" s="71" t="s">
        <v>53</v>
      </c>
    </row>
    <row r="23" spans="1:90" s="81" customFormat="1" ht="30" customHeight="1">
      <c r="A23" s="145" t="s">
        <v>15</v>
      </c>
      <c r="B23" s="201"/>
      <c r="C23" s="45">
        <f t="shared" si="0"/>
        <v>0</v>
      </c>
      <c r="D23" s="10">
        <f t="shared" si="1"/>
        <v>0</v>
      </c>
      <c r="E23" s="12"/>
      <c r="F23" s="50"/>
      <c r="G23" s="57"/>
      <c r="H23" s="57">
        <f t="shared" si="19"/>
        <v>7328800</v>
      </c>
      <c r="I23" s="61"/>
      <c r="J23" s="10">
        <f t="shared" si="2"/>
        <v>0</v>
      </c>
      <c r="K23" s="12"/>
      <c r="L23" s="52"/>
      <c r="M23" s="56"/>
      <c r="N23" s="55">
        <f t="shared" si="20"/>
        <v>624050</v>
      </c>
      <c r="O23" s="65"/>
      <c r="P23" s="119">
        <f t="shared" si="3"/>
        <v>7328800</v>
      </c>
      <c r="Q23" s="50">
        <f>1000000+1028800</f>
        <v>2028800</v>
      </c>
      <c r="R23" s="47">
        <f t="shared" si="21"/>
        <v>0</v>
      </c>
      <c r="S23" s="40">
        <f t="shared" si="4"/>
        <v>2028800</v>
      </c>
      <c r="T23" s="47">
        <f t="shared" si="22"/>
        <v>0</v>
      </c>
      <c r="U23" s="40">
        <f t="shared" si="5"/>
        <v>5300000</v>
      </c>
      <c r="V23" s="52">
        <f>4078100+1221900</f>
        <v>5300000</v>
      </c>
      <c r="W23" s="7">
        <f t="shared" si="6"/>
        <v>624050</v>
      </c>
      <c r="X23" s="52">
        <v>0</v>
      </c>
      <c r="Y23" s="48">
        <f t="shared" si="23"/>
        <v>0</v>
      </c>
      <c r="Z23" s="43">
        <f t="shared" si="7"/>
        <v>0</v>
      </c>
      <c r="AA23" s="48">
        <f t="shared" si="24"/>
        <v>0</v>
      </c>
      <c r="AB23" s="43">
        <f t="shared" si="8"/>
        <v>624050</v>
      </c>
      <c r="AC23" s="52">
        <f>624050</f>
        <v>624050</v>
      </c>
      <c r="AD23" s="124">
        <f t="shared" si="45"/>
        <v>0</v>
      </c>
      <c r="AE23" s="121">
        <f t="shared" si="25"/>
        <v>0</v>
      </c>
      <c r="AF23" s="121">
        <f t="shared" si="26"/>
        <v>0</v>
      </c>
      <c r="AG23" s="121">
        <f t="shared" si="46"/>
        <v>0</v>
      </c>
      <c r="AH23" s="121">
        <f t="shared" si="27"/>
        <v>0</v>
      </c>
      <c r="AI23" s="122">
        <f t="shared" si="28"/>
        <v>0</v>
      </c>
      <c r="AJ23" s="123">
        <f t="shared" si="29"/>
        <v>0</v>
      </c>
      <c r="AK23" s="3"/>
      <c r="AL23" s="3"/>
      <c r="AM23" s="130">
        <f t="shared" si="30"/>
        <v>0</v>
      </c>
      <c r="AN23" s="3"/>
      <c r="AO23" s="3"/>
      <c r="AP23" s="123">
        <f t="shared" si="31"/>
        <v>0</v>
      </c>
      <c r="AQ23" s="3"/>
      <c r="AR23" s="3"/>
      <c r="AS23" s="130">
        <f t="shared" si="32"/>
        <v>0</v>
      </c>
      <c r="AT23" s="3"/>
      <c r="AU23" s="3"/>
      <c r="AV23" s="120">
        <f t="shared" si="33"/>
        <v>0</v>
      </c>
      <c r="AW23" s="120">
        <f t="shared" si="34"/>
        <v>0</v>
      </c>
      <c r="AX23" s="120">
        <f t="shared" si="35"/>
        <v>0</v>
      </c>
      <c r="AY23" s="120">
        <f t="shared" si="36"/>
        <v>0</v>
      </c>
      <c r="AZ23" s="120">
        <f t="shared" si="37"/>
        <v>0</v>
      </c>
      <c r="BA23" s="120">
        <f t="shared" si="38"/>
        <v>0</v>
      </c>
      <c r="BB23" s="131">
        <f t="shared" si="47"/>
        <v>0</v>
      </c>
      <c r="BC23" s="3"/>
      <c r="BD23" s="3"/>
      <c r="BE23" s="130">
        <f t="shared" si="48"/>
        <v>0</v>
      </c>
      <c r="BF23" s="3"/>
      <c r="BG23" s="4"/>
      <c r="BH23" s="136">
        <f t="shared" si="11"/>
        <v>0</v>
      </c>
      <c r="BI23" s="3"/>
      <c r="BJ23" s="3"/>
      <c r="BK23" s="130">
        <f t="shared" si="12"/>
        <v>0</v>
      </c>
      <c r="BL23" s="3"/>
      <c r="BM23" s="4"/>
      <c r="BN23" s="140">
        <f t="shared" si="13"/>
        <v>0</v>
      </c>
      <c r="BO23" s="8"/>
      <c r="BP23" s="8"/>
      <c r="BQ23" s="121">
        <f t="shared" si="14"/>
        <v>0</v>
      </c>
      <c r="BR23" s="8"/>
      <c r="BS23" s="9"/>
      <c r="BT23" s="121">
        <f t="shared" si="39"/>
        <v>0</v>
      </c>
      <c r="BU23" s="121">
        <f t="shared" si="40"/>
        <v>0</v>
      </c>
      <c r="BV23" s="121">
        <f t="shared" si="41"/>
        <v>0</v>
      </c>
      <c r="BW23" s="121">
        <f t="shared" si="42"/>
        <v>0</v>
      </c>
      <c r="BX23" s="121">
        <f t="shared" si="43"/>
        <v>0</v>
      </c>
      <c r="BY23" s="121">
        <f t="shared" si="44"/>
        <v>0</v>
      </c>
      <c r="BZ23" s="131">
        <f t="shared" si="15"/>
        <v>0</v>
      </c>
      <c r="CA23" s="3"/>
      <c r="CB23" s="3"/>
      <c r="CC23" s="130">
        <f t="shared" si="16"/>
        <v>0</v>
      </c>
      <c r="CD23" s="3"/>
      <c r="CE23" s="4"/>
      <c r="CF23" s="136">
        <f t="shared" si="17"/>
        <v>0</v>
      </c>
      <c r="CG23" s="3"/>
      <c r="CH23" s="3"/>
      <c r="CI23" s="130">
        <f t="shared" si="18"/>
        <v>0</v>
      </c>
      <c r="CJ23" s="3"/>
      <c r="CK23" s="5"/>
      <c r="CL23" s="70" t="s">
        <v>54</v>
      </c>
    </row>
    <row r="24" spans="1:90" s="81" customFormat="1" ht="25.5" customHeight="1" thickBot="1">
      <c r="A24" s="146" t="s">
        <v>16</v>
      </c>
      <c r="B24" s="202"/>
      <c r="C24" s="46">
        <f t="shared" si="0"/>
        <v>0</v>
      </c>
      <c r="D24" s="28">
        <f t="shared" si="1"/>
        <v>0</v>
      </c>
      <c r="E24" s="29"/>
      <c r="F24" s="54"/>
      <c r="G24" s="60"/>
      <c r="H24" s="57">
        <f t="shared" si="19"/>
        <v>7499000</v>
      </c>
      <c r="I24" s="62"/>
      <c r="J24" s="28">
        <f t="shared" si="2"/>
        <v>0</v>
      </c>
      <c r="K24" s="29"/>
      <c r="L24" s="53"/>
      <c r="M24" s="58"/>
      <c r="N24" s="55">
        <f t="shared" si="20"/>
        <v>490663.61</v>
      </c>
      <c r="O24" s="66"/>
      <c r="P24" s="127">
        <f t="shared" si="3"/>
        <v>7499000</v>
      </c>
      <c r="Q24" s="54">
        <f>3497200</f>
        <v>3497200</v>
      </c>
      <c r="R24" s="47">
        <f t="shared" si="21"/>
        <v>0</v>
      </c>
      <c r="S24" s="41">
        <f t="shared" si="4"/>
        <v>3497200</v>
      </c>
      <c r="T24" s="47">
        <f t="shared" si="22"/>
        <v>0</v>
      </c>
      <c r="U24" s="41">
        <f t="shared" si="5"/>
        <v>4001800</v>
      </c>
      <c r="V24" s="53">
        <f>4001800</f>
        <v>4001800</v>
      </c>
      <c r="W24" s="30">
        <f>X24+AC24</f>
        <v>490663.61</v>
      </c>
      <c r="X24" s="53">
        <v>0</v>
      </c>
      <c r="Y24" s="49">
        <f>AH24+BF24+BL24+BR24+CD24+CJ24</f>
        <v>0</v>
      </c>
      <c r="Z24" s="44">
        <f t="shared" si="7"/>
        <v>0</v>
      </c>
      <c r="AA24" s="48">
        <f t="shared" si="24"/>
        <v>0</v>
      </c>
      <c r="AB24" s="44">
        <f t="shared" si="8"/>
        <v>490663.61</v>
      </c>
      <c r="AC24" s="53">
        <f>490663.61</f>
        <v>490663.61</v>
      </c>
      <c r="AD24" s="128">
        <f t="shared" si="45"/>
        <v>0</v>
      </c>
      <c r="AE24" s="121">
        <f t="shared" si="25"/>
        <v>0</v>
      </c>
      <c r="AF24" s="121">
        <f t="shared" si="26"/>
        <v>0</v>
      </c>
      <c r="AG24" s="129">
        <f t="shared" si="46"/>
        <v>0</v>
      </c>
      <c r="AH24" s="121">
        <f t="shared" si="27"/>
        <v>0</v>
      </c>
      <c r="AI24" s="122">
        <f t="shared" si="28"/>
        <v>0</v>
      </c>
      <c r="AJ24" s="123">
        <f t="shared" si="29"/>
        <v>0</v>
      </c>
      <c r="AK24" s="3"/>
      <c r="AL24" s="3"/>
      <c r="AM24" s="130">
        <f t="shared" si="30"/>
        <v>0</v>
      </c>
      <c r="AN24" s="3"/>
      <c r="AO24" s="3"/>
      <c r="AP24" s="123">
        <f t="shared" si="31"/>
        <v>0</v>
      </c>
      <c r="AQ24" s="3"/>
      <c r="AR24" s="3"/>
      <c r="AS24" s="130">
        <f t="shared" si="32"/>
        <v>0</v>
      </c>
      <c r="AT24" s="3"/>
      <c r="AU24" s="3"/>
      <c r="AV24" s="120">
        <f t="shared" si="33"/>
        <v>0</v>
      </c>
      <c r="AW24" s="120">
        <f t="shared" si="34"/>
        <v>0</v>
      </c>
      <c r="AX24" s="120">
        <f t="shared" si="35"/>
        <v>0</v>
      </c>
      <c r="AY24" s="120">
        <f t="shared" si="36"/>
        <v>0</v>
      </c>
      <c r="AZ24" s="120">
        <f t="shared" si="37"/>
        <v>0</v>
      </c>
      <c r="BA24" s="120">
        <f t="shared" si="38"/>
        <v>0</v>
      </c>
      <c r="BB24" s="133">
        <f t="shared" si="47"/>
        <v>0</v>
      </c>
      <c r="BC24" s="31"/>
      <c r="BD24" s="31"/>
      <c r="BE24" s="135">
        <f t="shared" si="48"/>
        <v>0</v>
      </c>
      <c r="BF24" s="31"/>
      <c r="BG24" s="32"/>
      <c r="BH24" s="138">
        <f t="shared" si="11"/>
        <v>0</v>
      </c>
      <c r="BI24" s="31"/>
      <c r="BJ24" s="31"/>
      <c r="BK24" s="135">
        <f t="shared" si="12"/>
        <v>0</v>
      </c>
      <c r="BL24" s="31"/>
      <c r="BM24" s="67"/>
      <c r="BN24" s="142">
        <f t="shared" si="13"/>
        <v>0</v>
      </c>
      <c r="BO24" s="33"/>
      <c r="BP24" s="33"/>
      <c r="BQ24" s="129">
        <f t="shared" si="14"/>
        <v>0</v>
      </c>
      <c r="BR24" s="33"/>
      <c r="BS24" s="34"/>
      <c r="BT24" s="121">
        <f t="shared" si="39"/>
        <v>0</v>
      </c>
      <c r="BU24" s="121">
        <f t="shared" si="40"/>
        <v>0</v>
      </c>
      <c r="BV24" s="121">
        <f t="shared" si="41"/>
        <v>0</v>
      </c>
      <c r="BW24" s="121">
        <f t="shared" si="42"/>
        <v>0</v>
      </c>
      <c r="BX24" s="121">
        <f t="shared" si="43"/>
        <v>0</v>
      </c>
      <c r="BY24" s="121">
        <f t="shared" si="44"/>
        <v>0</v>
      </c>
      <c r="BZ24" s="133">
        <f t="shared" si="15"/>
        <v>0</v>
      </c>
      <c r="CA24" s="31"/>
      <c r="CB24" s="31"/>
      <c r="CC24" s="135">
        <f t="shared" si="16"/>
        <v>0</v>
      </c>
      <c r="CD24" s="31"/>
      <c r="CE24" s="67"/>
      <c r="CF24" s="138">
        <f t="shared" si="17"/>
        <v>0</v>
      </c>
      <c r="CG24" s="31"/>
      <c r="CH24" s="31"/>
      <c r="CI24" s="135">
        <f t="shared" si="18"/>
        <v>0</v>
      </c>
      <c r="CJ24" s="31"/>
      <c r="CK24" s="35"/>
      <c r="CL24" s="73"/>
    </row>
    <row r="25" spans="1:90" s="83" customFormat="1" ht="26.25" customHeight="1" thickBot="1">
      <c r="A25" s="1" t="s">
        <v>25</v>
      </c>
      <c r="B25" s="203"/>
      <c r="C25" s="42">
        <f aca="true" t="shared" si="49" ref="C25:BF25">SUM(C7:C24)</f>
        <v>0</v>
      </c>
      <c r="D25" s="68">
        <f t="shared" si="49"/>
        <v>0</v>
      </c>
      <c r="E25" s="6">
        <f t="shared" si="49"/>
        <v>0</v>
      </c>
      <c r="F25" s="68">
        <f t="shared" si="49"/>
        <v>0</v>
      </c>
      <c r="G25" s="69">
        <f t="shared" si="49"/>
        <v>0</v>
      </c>
      <c r="H25" s="59">
        <f t="shared" si="49"/>
        <v>564674244.36</v>
      </c>
      <c r="I25" s="63"/>
      <c r="J25" s="68">
        <f t="shared" si="49"/>
        <v>0</v>
      </c>
      <c r="K25" s="6">
        <f t="shared" si="49"/>
        <v>0</v>
      </c>
      <c r="L25" s="68">
        <f t="shared" si="49"/>
        <v>0</v>
      </c>
      <c r="M25" s="69">
        <f t="shared" si="49"/>
        <v>0</v>
      </c>
      <c r="N25" s="59">
        <f t="shared" si="49"/>
        <v>39421886.05</v>
      </c>
      <c r="O25" s="63"/>
      <c r="P25" s="6">
        <f t="shared" si="49"/>
        <v>564674244.36</v>
      </c>
      <c r="Q25" s="6">
        <f t="shared" si="49"/>
        <v>168715911.17000002</v>
      </c>
      <c r="R25" s="6">
        <f t="shared" si="49"/>
        <v>20521892</v>
      </c>
      <c r="S25" s="42">
        <f t="shared" si="49"/>
        <v>148194019.17000002</v>
      </c>
      <c r="T25" s="6">
        <f t="shared" si="49"/>
        <v>3000000</v>
      </c>
      <c r="U25" s="42">
        <f t="shared" si="49"/>
        <v>392958333.19</v>
      </c>
      <c r="V25" s="6">
        <f t="shared" si="49"/>
        <v>395958333.19</v>
      </c>
      <c r="W25" s="36">
        <f t="shared" si="49"/>
        <v>39421886.05</v>
      </c>
      <c r="X25" s="6">
        <f t="shared" si="49"/>
        <v>0</v>
      </c>
      <c r="Y25" s="6">
        <f t="shared" si="49"/>
        <v>0</v>
      </c>
      <c r="Z25" s="42">
        <f t="shared" si="49"/>
        <v>0</v>
      </c>
      <c r="AA25" s="6">
        <f t="shared" si="49"/>
        <v>990000</v>
      </c>
      <c r="AB25" s="42">
        <f t="shared" si="49"/>
        <v>38431886.05</v>
      </c>
      <c r="AC25" s="6">
        <f t="shared" si="49"/>
        <v>39421886.05</v>
      </c>
      <c r="AD25" s="37">
        <f t="shared" si="49"/>
        <v>16589359</v>
      </c>
      <c r="AE25" s="37">
        <f t="shared" si="49"/>
        <v>16128292</v>
      </c>
      <c r="AF25" s="37">
        <f t="shared" si="49"/>
        <v>461067</v>
      </c>
      <c r="AG25" s="38">
        <f t="shared" si="49"/>
        <v>0</v>
      </c>
      <c r="AH25" s="37">
        <f t="shared" si="49"/>
        <v>0</v>
      </c>
      <c r="AI25" s="37">
        <f t="shared" si="49"/>
        <v>0</v>
      </c>
      <c r="AJ25" s="6">
        <f t="shared" si="49"/>
        <v>14523859</v>
      </c>
      <c r="AK25" s="6">
        <f t="shared" si="49"/>
        <v>14177792</v>
      </c>
      <c r="AL25" s="6">
        <f t="shared" si="49"/>
        <v>346067</v>
      </c>
      <c r="AM25" s="6">
        <f t="shared" si="49"/>
        <v>0</v>
      </c>
      <c r="AN25" s="6">
        <f t="shared" si="49"/>
        <v>0</v>
      </c>
      <c r="AO25" s="6">
        <f t="shared" si="49"/>
        <v>0</v>
      </c>
      <c r="AP25" s="6">
        <f t="shared" si="49"/>
        <v>2065500</v>
      </c>
      <c r="AQ25" s="6">
        <f t="shared" si="49"/>
        <v>1950500</v>
      </c>
      <c r="AR25" s="6">
        <f t="shared" si="49"/>
        <v>115000</v>
      </c>
      <c r="AS25" s="6">
        <f t="shared" si="49"/>
        <v>0</v>
      </c>
      <c r="AT25" s="6">
        <f t="shared" si="49"/>
        <v>0</v>
      </c>
      <c r="AU25" s="6">
        <f t="shared" si="49"/>
        <v>0</v>
      </c>
      <c r="AV25" s="37">
        <f t="shared" si="49"/>
        <v>4758600</v>
      </c>
      <c r="AW25" s="37">
        <f t="shared" si="49"/>
        <v>4393600</v>
      </c>
      <c r="AX25" s="37">
        <f t="shared" si="49"/>
        <v>365000</v>
      </c>
      <c r="AY25" s="38">
        <f t="shared" si="49"/>
        <v>0</v>
      </c>
      <c r="AZ25" s="37">
        <f t="shared" si="49"/>
        <v>0</v>
      </c>
      <c r="BA25" s="37">
        <f t="shared" si="49"/>
        <v>0</v>
      </c>
      <c r="BB25" s="6">
        <f t="shared" si="49"/>
        <v>0</v>
      </c>
      <c r="BC25" s="6">
        <f t="shared" si="49"/>
        <v>0</v>
      </c>
      <c r="BD25" s="6">
        <f t="shared" si="49"/>
        <v>0</v>
      </c>
      <c r="BE25" s="36">
        <f t="shared" si="49"/>
        <v>0</v>
      </c>
      <c r="BF25" s="6">
        <f t="shared" si="49"/>
        <v>0</v>
      </c>
      <c r="BG25" s="6">
        <f aca="true" t="shared" si="50" ref="BG25:CK25">SUM(BG7:BG24)</f>
        <v>0</v>
      </c>
      <c r="BH25" s="6">
        <f t="shared" si="50"/>
        <v>4758600</v>
      </c>
      <c r="BI25" s="6">
        <f t="shared" si="50"/>
        <v>4393600</v>
      </c>
      <c r="BJ25" s="6">
        <f t="shared" si="50"/>
        <v>365000</v>
      </c>
      <c r="BK25" s="6">
        <f t="shared" si="50"/>
        <v>0</v>
      </c>
      <c r="BL25" s="6">
        <f t="shared" si="50"/>
        <v>0</v>
      </c>
      <c r="BM25" s="6">
        <f t="shared" si="50"/>
        <v>0</v>
      </c>
      <c r="BN25" s="37">
        <f t="shared" si="50"/>
        <v>0</v>
      </c>
      <c r="BO25" s="37">
        <f t="shared" si="50"/>
        <v>0</v>
      </c>
      <c r="BP25" s="37">
        <f t="shared" si="50"/>
        <v>0</v>
      </c>
      <c r="BQ25" s="38">
        <f t="shared" si="50"/>
        <v>0</v>
      </c>
      <c r="BR25" s="37">
        <f t="shared" si="50"/>
        <v>0</v>
      </c>
      <c r="BS25" s="37">
        <f t="shared" si="50"/>
        <v>0</v>
      </c>
      <c r="BT25" s="39">
        <f t="shared" si="50"/>
        <v>2173933</v>
      </c>
      <c r="BU25" s="39">
        <f t="shared" si="50"/>
        <v>0</v>
      </c>
      <c r="BV25" s="39">
        <f t="shared" si="50"/>
        <v>2173933</v>
      </c>
      <c r="BW25" s="39">
        <f t="shared" si="50"/>
        <v>990000</v>
      </c>
      <c r="BX25" s="39">
        <f t="shared" si="50"/>
        <v>0</v>
      </c>
      <c r="BY25" s="39">
        <f t="shared" si="50"/>
        <v>990000</v>
      </c>
      <c r="BZ25" s="6">
        <f t="shared" si="50"/>
        <v>2000000</v>
      </c>
      <c r="CA25" s="6">
        <f t="shared" si="50"/>
        <v>0</v>
      </c>
      <c r="CB25" s="6">
        <f t="shared" si="50"/>
        <v>2000000</v>
      </c>
      <c r="CC25" s="36">
        <f t="shared" si="50"/>
        <v>990000</v>
      </c>
      <c r="CD25" s="6">
        <f t="shared" si="50"/>
        <v>0</v>
      </c>
      <c r="CE25" s="6">
        <f t="shared" si="50"/>
        <v>990000</v>
      </c>
      <c r="CF25" s="6">
        <f t="shared" si="50"/>
        <v>173933</v>
      </c>
      <c r="CG25" s="6">
        <f t="shared" si="50"/>
        <v>0</v>
      </c>
      <c r="CH25" s="6">
        <f t="shared" si="50"/>
        <v>173933</v>
      </c>
      <c r="CI25" s="36">
        <f t="shared" si="50"/>
        <v>0</v>
      </c>
      <c r="CJ25" s="6">
        <f t="shared" si="50"/>
        <v>0</v>
      </c>
      <c r="CK25" s="6">
        <f t="shared" si="50"/>
        <v>0</v>
      </c>
      <c r="CL25" s="82"/>
    </row>
    <row r="26" spans="1:87" ht="29.25" customHeight="1" hidden="1" outlineLevel="1">
      <c r="A26" s="84" t="s">
        <v>77</v>
      </c>
      <c r="B26" s="204"/>
      <c r="D26" s="85">
        <f>D25+G25+H25</f>
        <v>564674244.36</v>
      </c>
      <c r="F26" s="86" t="s">
        <v>78</v>
      </c>
      <c r="G26" s="87"/>
      <c r="J26" s="85">
        <f>J25+M25+N25</f>
        <v>39421886.05</v>
      </c>
      <c r="L26" s="86" t="s">
        <v>78</v>
      </c>
      <c r="M26" s="87"/>
      <c r="X26" s="89">
        <f>Y25+AA25</f>
        <v>990000</v>
      </c>
      <c r="AG26" s="91" t="s">
        <v>69</v>
      </c>
      <c r="AY26" s="91" t="s">
        <v>70</v>
      </c>
      <c r="BQ26" s="91" t="s">
        <v>67</v>
      </c>
      <c r="CC26" s="79" t="s">
        <v>71</v>
      </c>
      <c r="CI26" s="79" t="s">
        <v>68</v>
      </c>
    </row>
    <row r="27" spans="12:63" ht="19.5" customHeight="1" collapsed="1">
      <c r="L27" s="93" t="s">
        <v>37</v>
      </c>
      <c r="P27" s="93"/>
      <c r="Q27" s="93"/>
      <c r="R27" s="79"/>
      <c r="S27" s="94">
        <f>S25</f>
        <v>148194019.17000002</v>
      </c>
      <c r="U27" s="95">
        <f>U25</f>
        <v>392958333.19</v>
      </c>
      <c r="W27" s="79"/>
      <c r="Y27" s="79"/>
      <c r="Z27" s="94"/>
      <c r="AB27" s="95"/>
      <c r="AF27" s="96"/>
      <c r="BK27" s="97"/>
    </row>
    <row r="28" spans="16:30" ht="6" customHeight="1">
      <c r="P28" s="98"/>
      <c r="Q28" s="79"/>
      <c r="R28" s="79"/>
      <c r="S28" s="99"/>
      <c r="W28" s="79"/>
      <c r="X28" s="79"/>
      <c r="Y28" s="79"/>
      <c r="Z28" s="99"/>
      <c r="AD28" s="100"/>
    </row>
    <row r="29" spans="1:24" ht="15" customHeight="1">
      <c r="A29" s="101" t="s">
        <v>47</v>
      </c>
      <c r="B29" s="101"/>
      <c r="C29" s="102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3"/>
      <c r="Q29" s="103"/>
      <c r="R29" s="103"/>
      <c r="S29" s="104"/>
      <c r="T29" s="103"/>
      <c r="U29" s="104"/>
      <c r="V29" s="103"/>
      <c r="W29" s="103"/>
      <c r="X29" s="105"/>
    </row>
    <row r="30" spans="1:24" ht="15" customHeight="1">
      <c r="A30" s="101" t="s">
        <v>48</v>
      </c>
      <c r="B30" s="101"/>
      <c r="C30" s="102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3"/>
      <c r="Q30" s="103"/>
      <c r="R30" s="103"/>
      <c r="S30" s="104"/>
      <c r="T30" s="103"/>
      <c r="U30" s="104"/>
      <c r="V30" s="103"/>
      <c r="W30" s="103"/>
      <c r="X30" s="105"/>
    </row>
    <row r="31" spans="1:24" ht="15" customHeight="1">
      <c r="A31" s="101" t="s">
        <v>49</v>
      </c>
      <c r="B31" s="101"/>
      <c r="C31" s="102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3"/>
      <c r="Q31" s="103"/>
      <c r="R31" s="103"/>
      <c r="S31" s="104"/>
      <c r="T31" s="103"/>
      <c r="U31" s="104"/>
      <c r="V31" s="103"/>
      <c r="W31" s="103"/>
      <c r="X31" s="105"/>
    </row>
    <row r="32" ht="6" customHeight="1"/>
    <row r="33" spans="1:2" ht="14.25">
      <c r="A33" s="106" t="s">
        <v>57</v>
      </c>
      <c r="B33" s="205"/>
    </row>
    <row r="34" spans="1:89" ht="14.25">
      <c r="A34" s="106" t="s">
        <v>58</v>
      </c>
      <c r="B34" s="206"/>
      <c r="C34" s="107">
        <f>C24+C21+C16+C15+C12+C10</f>
        <v>0</v>
      </c>
      <c r="D34" s="108">
        <f aca="true" t="shared" si="51" ref="D34:BS34">D24+D21+D16+D15+D12+D10</f>
        <v>0</v>
      </c>
      <c r="E34" s="108">
        <f t="shared" si="51"/>
        <v>0</v>
      </c>
      <c r="F34" s="108">
        <f t="shared" si="51"/>
        <v>0</v>
      </c>
      <c r="G34" s="109">
        <f t="shared" si="51"/>
        <v>0</v>
      </c>
      <c r="H34" s="109"/>
      <c r="I34" s="108"/>
      <c r="J34" s="108">
        <f t="shared" si="51"/>
        <v>0</v>
      </c>
      <c r="K34" s="108">
        <f t="shared" si="51"/>
        <v>0</v>
      </c>
      <c r="L34" s="108">
        <f t="shared" si="51"/>
        <v>0</v>
      </c>
      <c r="M34" s="109">
        <f t="shared" si="51"/>
        <v>0</v>
      </c>
      <c r="N34" s="109"/>
      <c r="O34" s="108"/>
      <c r="P34" s="108">
        <f t="shared" si="51"/>
        <v>409312222.66</v>
      </c>
      <c r="Q34" s="108">
        <f t="shared" si="51"/>
        <v>122536319.17</v>
      </c>
      <c r="R34" s="108">
        <f t="shared" si="51"/>
        <v>0</v>
      </c>
      <c r="S34" s="108">
        <f t="shared" si="51"/>
        <v>122536319.17</v>
      </c>
      <c r="T34" s="108">
        <f t="shared" si="51"/>
        <v>0</v>
      </c>
      <c r="U34" s="108">
        <f t="shared" si="51"/>
        <v>286775903.49</v>
      </c>
      <c r="V34" s="108">
        <f t="shared" si="51"/>
        <v>286775903.49</v>
      </c>
      <c r="W34" s="108">
        <f t="shared" si="51"/>
        <v>28279085.939999998</v>
      </c>
      <c r="X34" s="108">
        <f t="shared" si="51"/>
        <v>0</v>
      </c>
      <c r="Y34" s="108">
        <f t="shared" si="51"/>
        <v>0</v>
      </c>
      <c r="Z34" s="108">
        <f t="shared" si="51"/>
        <v>0</v>
      </c>
      <c r="AA34" s="108">
        <f t="shared" si="51"/>
        <v>0</v>
      </c>
      <c r="AB34" s="108">
        <f t="shared" si="51"/>
        <v>28279085.939999998</v>
      </c>
      <c r="AC34" s="108">
        <f t="shared" si="51"/>
        <v>28279085.939999998</v>
      </c>
      <c r="AD34" s="110">
        <f t="shared" si="51"/>
        <v>0</v>
      </c>
      <c r="AE34" s="110">
        <f t="shared" si="51"/>
        <v>0</v>
      </c>
      <c r="AF34" s="110">
        <f t="shared" si="51"/>
        <v>0</v>
      </c>
      <c r="AG34" s="110">
        <f t="shared" si="51"/>
        <v>0</v>
      </c>
      <c r="AH34" s="110">
        <f t="shared" si="51"/>
        <v>0</v>
      </c>
      <c r="AI34" s="110">
        <f t="shared" si="51"/>
        <v>0</v>
      </c>
      <c r="AJ34" s="108">
        <f t="shared" si="51"/>
        <v>0</v>
      </c>
      <c r="AK34" s="108">
        <f t="shared" si="51"/>
        <v>0</v>
      </c>
      <c r="AL34" s="108">
        <f t="shared" si="51"/>
        <v>0</v>
      </c>
      <c r="AM34" s="108">
        <f t="shared" si="51"/>
        <v>0</v>
      </c>
      <c r="AN34" s="108">
        <f t="shared" si="51"/>
        <v>0</v>
      </c>
      <c r="AO34" s="108">
        <f t="shared" si="51"/>
        <v>0</v>
      </c>
      <c r="AP34" s="108">
        <f t="shared" si="51"/>
        <v>0</v>
      </c>
      <c r="AQ34" s="108">
        <f t="shared" si="51"/>
        <v>0</v>
      </c>
      <c r="AR34" s="108">
        <f t="shared" si="51"/>
        <v>0</v>
      </c>
      <c r="AS34" s="108">
        <f t="shared" si="51"/>
        <v>0</v>
      </c>
      <c r="AT34" s="108">
        <f t="shared" si="51"/>
        <v>0</v>
      </c>
      <c r="AU34" s="108">
        <f t="shared" si="51"/>
        <v>0</v>
      </c>
      <c r="AV34" s="110">
        <f t="shared" si="51"/>
        <v>0</v>
      </c>
      <c r="AW34" s="110">
        <f t="shared" si="51"/>
        <v>0</v>
      </c>
      <c r="AX34" s="110">
        <f t="shared" si="51"/>
        <v>0</v>
      </c>
      <c r="AY34" s="110">
        <f t="shared" si="51"/>
        <v>0</v>
      </c>
      <c r="AZ34" s="110">
        <f t="shared" si="51"/>
        <v>0</v>
      </c>
      <c r="BA34" s="110">
        <f t="shared" si="51"/>
        <v>0</v>
      </c>
      <c r="BB34" s="108">
        <f t="shared" si="51"/>
        <v>0</v>
      </c>
      <c r="BC34" s="108">
        <f t="shared" si="51"/>
        <v>0</v>
      </c>
      <c r="BD34" s="108">
        <f t="shared" si="51"/>
        <v>0</v>
      </c>
      <c r="BE34" s="108">
        <f t="shared" si="51"/>
        <v>0</v>
      </c>
      <c r="BF34" s="108">
        <f t="shared" si="51"/>
        <v>0</v>
      </c>
      <c r="BG34" s="108">
        <f t="shared" si="51"/>
        <v>0</v>
      </c>
      <c r="BH34" s="108">
        <f t="shared" si="51"/>
        <v>0</v>
      </c>
      <c r="BI34" s="108">
        <f t="shared" si="51"/>
        <v>0</v>
      </c>
      <c r="BJ34" s="108">
        <f t="shared" si="51"/>
        <v>0</v>
      </c>
      <c r="BK34" s="108">
        <f t="shared" si="51"/>
        <v>0</v>
      </c>
      <c r="BL34" s="108">
        <f t="shared" si="51"/>
        <v>0</v>
      </c>
      <c r="BM34" s="108">
        <f t="shared" si="51"/>
        <v>0</v>
      </c>
      <c r="BN34" s="110">
        <f t="shared" si="51"/>
        <v>0</v>
      </c>
      <c r="BO34" s="110">
        <f t="shared" si="51"/>
        <v>0</v>
      </c>
      <c r="BP34" s="110">
        <f t="shared" si="51"/>
        <v>0</v>
      </c>
      <c r="BQ34" s="110">
        <f t="shared" si="51"/>
        <v>0</v>
      </c>
      <c r="BR34" s="110">
        <f t="shared" si="51"/>
        <v>0</v>
      </c>
      <c r="BS34" s="110">
        <f t="shared" si="51"/>
        <v>0</v>
      </c>
      <c r="BT34" s="110">
        <f aca="true" t="shared" si="52" ref="BT34:CK34">BT24+BT21+BT16+BT15+BT12+BT10</f>
        <v>0</v>
      </c>
      <c r="BU34" s="110">
        <f t="shared" si="52"/>
        <v>0</v>
      </c>
      <c r="BV34" s="110">
        <f t="shared" si="52"/>
        <v>0</v>
      </c>
      <c r="BW34" s="110">
        <f t="shared" si="52"/>
        <v>0</v>
      </c>
      <c r="BX34" s="110">
        <f t="shared" si="52"/>
        <v>0</v>
      </c>
      <c r="BY34" s="110">
        <f t="shared" si="52"/>
        <v>0</v>
      </c>
      <c r="BZ34" s="108">
        <f t="shared" si="52"/>
        <v>0</v>
      </c>
      <c r="CA34" s="108">
        <f t="shared" si="52"/>
        <v>0</v>
      </c>
      <c r="CB34" s="108">
        <f t="shared" si="52"/>
        <v>0</v>
      </c>
      <c r="CC34" s="108">
        <f t="shared" si="52"/>
        <v>0</v>
      </c>
      <c r="CD34" s="108">
        <f t="shared" si="52"/>
        <v>0</v>
      </c>
      <c r="CE34" s="108">
        <f t="shared" si="52"/>
        <v>0</v>
      </c>
      <c r="CF34" s="108">
        <f t="shared" si="52"/>
        <v>0</v>
      </c>
      <c r="CG34" s="108">
        <f t="shared" si="52"/>
        <v>0</v>
      </c>
      <c r="CH34" s="108">
        <f t="shared" si="52"/>
        <v>0</v>
      </c>
      <c r="CI34" s="108">
        <f t="shared" si="52"/>
        <v>0</v>
      </c>
      <c r="CJ34" s="108">
        <f t="shared" si="52"/>
        <v>0</v>
      </c>
      <c r="CK34" s="108">
        <f t="shared" si="52"/>
        <v>0</v>
      </c>
    </row>
    <row r="35" spans="1:89" ht="7.5" customHeight="1">
      <c r="A35" s="106"/>
      <c r="B35" s="206"/>
      <c r="C35" s="111"/>
      <c r="D35" s="112"/>
      <c r="E35" s="112"/>
      <c r="F35" s="112"/>
      <c r="G35" s="113"/>
      <c r="H35" s="113"/>
      <c r="I35" s="112"/>
      <c r="J35" s="112"/>
      <c r="K35" s="112"/>
      <c r="L35" s="112"/>
      <c r="M35" s="113"/>
      <c r="N35" s="113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4"/>
      <c r="AE35" s="114"/>
      <c r="AF35" s="114"/>
      <c r="AG35" s="114"/>
      <c r="AH35" s="114"/>
      <c r="AI35" s="114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4"/>
      <c r="AW35" s="114"/>
      <c r="AX35" s="114"/>
      <c r="AY35" s="114"/>
      <c r="AZ35" s="114"/>
      <c r="BA35" s="114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</row>
    <row r="36" spans="1:89" ht="14.25">
      <c r="A36" s="106" t="s">
        <v>59</v>
      </c>
      <c r="B36" s="206"/>
      <c r="C36" s="107">
        <f>C23+C22+C20+C19+C18+C17+C14+C13++C9+C8+C7</f>
        <v>0</v>
      </c>
      <c r="D36" s="108">
        <f aca="true" t="shared" si="53" ref="D36:BS36">D23+D22+D20+D19+D18+D17+D14+D13++D9+D8+D7</f>
        <v>0</v>
      </c>
      <c r="E36" s="108">
        <f t="shared" si="53"/>
        <v>0</v>
      </c>
      <c r="F36" s="108">
        <f t="shared" si="53"/>
        <v>0</v>
      </c>
      <c r="G36" s="109">
        <f t="shared" si="53"/>
        <v>0</v>
      </c>
      <c r="H36" s="109"/>
      <c r="I36" s="108"/>
      <c r="J36" s="108">
        <f t="shared" si="53"/>
        <v>0</v>
      </c>
      <c r="K36" s="108">
        <f t="shared" si="53"/>
        <v>0</v>
      </c>
      <c r="L36" s="108">
        <f t="shared" si="53"/>
        <v>0</v>
      </c>
      <c r="M36" s="109">
        <f t="shared" si="53"/>
        <v>0</v>
      </c>
      <c r="N36" s="109"/>
      <c r="O36" s="108"/>
      <c r="P36" s="108">
        <f t="shared" si="53"/>
        <v>130012394.24</v>
      </c>
      <c r="Q36" s="108">
        <f t="shared" si="53"/>
        <v>43480092</v>
      </c>
      <c r="R36" s="108">
        <f t="shared" si="53"/>
        <v>20521892</v>
      </c>
      <c r="S36" s="108">
        <f t="shared" si="53"/>
        <v>22958200</v>
      </c>
      <c r="T36" s="108">
        <f t="shared" si="53"/>
        <v>3000000</v>
      </c>
      <c r="U36" s="108">
        <f t="shared" si="53"/>
        <v>83532302.24</v>
      </c>
      <c r="V36" s="108">
        <f t="shared" si="53"/>
        <v>86532302.24</v>
      </c>
      <c r="W36" s="108">
        <f t="shared" si="53"/>
        <v>6708121.68</v>
      </c>
      <c r="X36" s="108">
        <f t="shared" si="53"/>
        <v>0</v>
      </c>
      <c r="Y36" s="108">
        <f t="shared" si="53"/>
        <v>0</v>
      </c>
      <c r="Z36" s="108">
        <f t="shared" si="53"/>
        <v>0</v>
      </c>
      <c r="AA36" s="108">
        <f t="shared" si="53"/>
        <v>990000</v>
      </c>
      <c r="AB36" s="108">
        <f t="shared" si="53"/>
        <v>5718121.68</v>
      </c>
      <c r="AC36" s="108">
        <f t="shared" si="53"/>
        <v>6708121.68</v>
      </c>
      <c r="AD36" s="110">
        <f t="shared" si="53"/>
        <v>16589359</v>
      </c>
      <c r="AE36" s="110">
        <f t="shared" si="53"/>
        <v>16128292</v>
      </c>
      <c r="AF36" s="110">
        <f t="shared" si="53"/>
        <v>461067</v>
      </c>
      <c r="AG36" s="110">
        <f t="shared" si="53"/>
        <v>0</v>
      </c>
      <c r="AH36" s="110">
        <f t="shared" si="53"/>
        <v>0</v>
      </c>
      <c r="AI36" s="110">
        <f t="shared" si="53"/>
        <v>0</v>
      </c>
      <c r="AJ36" s="108">
        <f t="shared" si="53"/>
        <v>14523859</v>
      </c>
      <c r="AK36" s="108">
        <f t="shared" si="53"/>
        <v>14177792</v>
      </c>
      <c r="AL36" s="108">
        <f t="shared" si="53"/>
        <v>346067</v>
      </c>
      <c r="AM36" s="108">
        <f t="shared" si="53"/>
        <v>0</v>
      </c>
      <c r="AN36" s="108">
        <f t="shared" si="53"/>
        <v>0</v>
      </c>
      <c r="AO36" s="108">
        <f t="shared" si="53"/>
        <v>0</v>
      </c>
      <c r="AP36" s="108">
        <f t="shared" si="53"/>
        <v>2065500</v>
      </c>
      <c r="AQ36" s="108">
        <f t="shared" si="53"/>
        <v>1950500</v>
      </c>
      <c r="AR36" s="108">
        <f t="shared" si="53"/>
        <v>115000</v>
      </c>
      <c r="AS36" s="108">
        <f t="shared" si="53"/>
        <v>0</v>
      </c>
      <c r="AT36" s="108">
        <f t="shared" si="53"/>
        <v>0</v>
      </c>
      <c r="AU36" s="108">
        <f t="shared" si="53"/>
        <v>0</v>
      </c>
      <c r="AV36" s="110">
        <f t="shared" si="53"/>
        <v>4758600</v>
      </c>
      <c r="AW36" s="110">
        <f t="shared" si="53"/>
        <v>4393600</v>
      </c>
      <c r="AX36" s="110">
        <f t="shared" si="53"/>
        <v>365000</v>
      </c>
      <c r="AY36" s="110">
        <f t="shared" si="53"/>
        <v>0</v>
      </c>
      <c r="AZ36" s="110">
        <f t="shared" si="53"/>
        <v>0</v>
      </c>
      <c r="BA36" s="110">
        <f t="shared" si="53"/>
        <v>0</v>
      </c>
      <c r="BB36" s="108">
        <f t="shared" si="53"/>
        <v>0</v>
      </c>
      <c r="BC36" s="108">
        <f t="shared" si="53"/>
        <v>0</v>
      </c>
      <c r="BD36" s="108">
        <f t="shared" si="53"/>
        <v>0</v>
      </c>
      <c r="BE36" s="108">
        <f t="shared" si="53"/>
        <v>0</v>
      </c>
      <c r="BF36" s="108">
        <f t="shared" si="53"/>
        <v>0</v>
      </c>
      <c r="BG36" s="108">
        <f t="shared" si="53"/>
        <v>0</v>
      </c>
      <c r="BH36" s="108">
        <f t="shared" si="53"/>
        <v>4758600</v>
      </c>
      <c r="BI36" s="108">
        <f t="shared" si="53"/>
        <v>4393600</v>
      </c>
      <c r="BJ36" s="108">
        <f t="shared" si="53"/>
        <v>365000</v>
      </c>
      <c r="BK36" s="108">
        <f t="shared" si="53"/>
        <v>0</v>
      </c>
      <c r="BL36" s="108">
        <f t="shared" si="53"/>
        <v>0</v>
      </c>
      <c r="BM36" s="108">
        <f t="shared" si="53"/>
        <v>0</v>
      </c>
      <c r="BN36" s="110">
        <f t="shared" si="53"/>
        <v>0</v>
      </c>
      <c r="BO36" s="110">
        <f t="shared" si="53"/>
        <v>0</v>
      </c>
      <c r="BP36" s="110">
        <f t="shared" si="53"/>
        <v>0</v>
      </c>
      <c r="BQ36" s="110">
        <f t="shared" si="53"/>
        <v>0</v>
      </c>
      <c r="BR36" s="110">
        <f t="shared" si="53"/>
        <v>0</v>
      </c>
      <c r="BS36" s="110">
        <f t="shared" si="53"/>
        <v>0</v>
      </c>
      <c r="BT36" s="110">
        <f aca="true" t="shared" si="54" ref="BT36:CK36">BT23+BT22+BT20+BT19+BT18+BT17+BT14+BT13++BT9+BT8+BT7</f>
        <v>2173933</v>
      </c>
      <c r="BU36" s="110">
        <f t="shared" si="54"/>
        <v>0</v>
      </c>
      <c r="BV36" s="110">
        <f t="shared" si="54"/>
        <v>2173933</v>
      </c>
      <c r="BW36" s="110">
        <f t="shared" si="54"/>
        <v>990000</v>
      </c>
      <c r="BX36" s="110">
        <f t="shared" si="54"/>
        <v>0</v>
      </c>
      <c r="BY36" s="110">
        <f t="shared" si="54"/>
        <v>990000</v>
      </c>
      <c r="BZ36" s="108">
        <f t="shared" si="54"/>
        <v>2000000</v>
      </c>
      <c r="CA36" s="108">
        <f t="shared" si="54"/>
        <v>0</v>
      </c>
      <c r="CB36" s="108">
        <f t="shared" si="54"/>
        <v>2000000</v>
      </c>
      <c r="CC36" s="108">
        <f t="shared" si="54"/>
        <v>990000</v>
      </c>
      <c r="CD36" s="108">
        <f t="shared" si="54"/>
        <v>0</v>
      </c>
      <c r="CE36" s="108">
        <f t="shared" si="54"/>
        <v>990000</v>
      </c>
      <c r="CF36" s="108">
        <f t="shared" si="54"/>
        <v>173933</v>
      </c>
      <c r="CG36" s="108">
        <f t="shared" si="54"/>
        <v>0</v>
      </c>
      <c r="CH36" s="108">
        <f t="shared" si="54"/>
        <v>173933</v>
      </c>
      <c r="CI36" s="108">
        <f t="shared" si="54"/>
        <v>0</v>
      </c>
      <c r="CJ36" s="108">
        <f t="shared" si="54"/>
        <v>0</v>
      </c>
      <c r="CK36" s="108">
        <f t="shared" si="54"/>
        <v>0</v>
      </c>
    </row>
    <row r="37" spans="1:89" ht="6" customHeight="1">
      <c r="A37" s="106"/>
      <c r="B37" s="206"/>
      <c r="C37" s="111"/>
      <c r="D37" s="112"/>
      <c r="E37" s="112"/>
      <c r="F37" s="112"/>
      <c r="G37" s="113"/>
      <c r="H37" s="113"/>
      <c r="I37" s="112"/>
      <c r="J37" s="112"/>
      <c r="K37" s="112"/>
      <c r="L37" s="112"/>
      <c r="M37" s="113"/>
      <c r="N37" s="113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4"/>
      <c r="AE37" s="114"/>
      <c r="AF37" s="114"/>
      <c r="AG37" s="114"/>
      <c r="AH37" s="114"/>
      <c r="AI37" s="114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4"/>
      <c r="AW37" s="114"/>
      <c r="AX37" s="114"/>
      <c r="AY37" s="114"/>
      <c r="AZ37" s="114"/>
      <c r="BA37" s="114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</row>
    <row r="38" spans="1:89" ht="14.25">
      <c r="A38" s="106" t="s">
        <v>29</v>
      </c>
      <c r="B38" s="206"/>
      <c r="C38" s="107">
        <f>C11</f>
        <v>0</v>
      </c>
      <c r="D38" s="108">
        <f aca="true" t="shared" si="55" ref="D38:BS38">D11</f>
        <v>0</v>
      </c>
      <c r="E38" s="108">
        <f t="shared" si="55"/>
        <v>0</v>
      </c>
      <c r="F38" s="108">
        <f t="shared" si="55"/>
        <v>0</v>
      </c>
      <c r="G38" s="109">
        <f t="shared" si="55"/>
        <v>0</v>
      </c>
      <c r="H38" s="109"/>
      <c r="I38" s="108"/>
      <c r="J38" s="108">
        <f t="shared" si="55"/>
        <v>0</v>
      </c>
      <c r="K38" s="108">
        <f t="shared" si="55"/>
        <v>0</v>
      </c>
      <c r="L38" s="108">
        <f t="shared" si="55"/>
        <v>0</v>
      </c>
      <c r="M38" s="109">
        <f t="shared" si="55"/>
        <v>0</v>
      </c>
      <c r="N38" s="109"/>
      <c r="O38" s="108"/>
      <c r="P38" s="108">
        <f t="shared" si="55"/>
        <v>25349627.46</v>
      </c>
      <c r="Q38" s="108">
        <f t="shared" si="55"/>
        <v>2699500</v>
      </c>
      <c r="R38" s="108">
        <f t="shared" si="55"/>
        <v>0</v>
      </c>
      <c r="S38" s="108">
        <f t="shared" si="55"/>
        <v>2699500</v>
      </c>
      <c r="T38" s="108">
        <f t="shared" si="55"/>
        <v>0</v>
      </c>
      <c r="U38" s="108">
        <f t="shared" si="55"/>
        <v>22650127.46</v>
      </c>
      <c r="V38" s="108">
        <f t="shared" si="55"/>
        <v>22650127.46</v>
      </c>
      <c r="W38" s="108">
        <f t="shared" si="55"/>
        <v>4434678.43</v>
      </c>
      <c r="X38" s="108">
        <f t="shared" si="55"/>
        <v>0</v>
      </c>
      <c r="Y38" s="108">
        <f t="shared" si="55"/>
        <v>0</v>
      </c>
      <c r="Z38" s="108">
        <f t="shared" si="55"/>
        <v>0</v>
      </c>
      <c r="AA38" s="108">
        <f t="shared" si="55"/>
        <v>0</v>
      </c>
      <c r="AB38" s="108">
        <f t="shared" si="55"/>
        <v>4434678.43</v>
      </c>
      <c r="AC38" s="108">
        <f t="shared" si="55"/>
        <v>4434678.43</v>
      </c>
      <c r="AD38" s="110">
        <f t="shared" si="55"/>
        <v>0</v>
      </c>
      <c r="AE38" s="110">
        <f t="shared" si="55"/>
        <v>0</v>
      </c>
      <c r="AF38" s="110">
        <f t="shared" si="55"/>
        <v>0</v>
      </c>
      <c r="AG38" s="110">
        <f t="shared" si="55"/>
        <v>0</v>
      </c>
      <c r="AH38" s="110">
        <f t="shared" si="55"/>
        <v>0</v>
      </c>
      <c r="AI38" s="110">
        <f t="shared" si="55"/>
        <v>0</v>
      </c>
      <c r="AJ38" s="108">
        <f t="shared" si="55"/>
        <v>0</v>
      </c>
      <c r="AK38" s="108">
        <f t="shared" si="55"/>
        <v>0</v>
      </c>
      <c r="AL38" s="108">
        <f t="shared" si="55"/>
        <v>0</v>
      </c>
      <c r="AM38" s="108">
        <f t="shared" si="55"/>
        <v>0</v>
      </c>
      <c r="AN38" s="108">
        <f t="shared" si="55"/>
        <v>0</v>
      </c>
      <c r="AO38" s="108">
        <f t="shared" si="55"/>
        <v>0</v>
      </c>
      <c r="AP38" s="108">
        <f t="shared" si="55"/>
        <v>0</v>
      </c>
      <c r="AQ38" s="108">
        <f t="shared" si="55"/>
        <v>0</v>
      </c>
      <c r="AR38" s="108">
        <f t="shared" si="55"/>
        <v>0</v>
      </c>
      <c r="AS38" s="108">
        <f t="shared" si="55"/>
        <v>0</v>
      </c>
      <c r="AT38" s="108">
        <f t="shared" si="55"/>
        <v>0</v>
      </c>
      <c r="AU38" s="108">
        <f t="shared" si="55"/>
        <v>0</v>
      </c>
      <c r="AV38" s="110">
        <f t="shared" si="55"/>
        <v>0</v>
      </c>
      <c r="AW38" s="110">
        <f t="shared" si="55"/>
        <v>0</v>
      </c>
      <c r="AX38" s="110">
        <f t="shared" si="55"/>
        <v>0</v>
      </c>
      <c r="AY38" s="110">
        <f t="shared" si="55"/>
        <v>0</v>
      </c>
      <c r="AZ38" s="110">
        <f t="shared" si="55"/>
        <v>0</v>
      </c>
      <c r="BA38" s="110">
        <f t="shared" si="55"/>
        <v>0</v>
      </c>
      <c r="BB38" s="108">
        <f t="shared" si="55"/>
        <v>0</v>
      </c>
      <c r="BC38" s="108">
        <f t="shared" si="55"/>
        <v>0</v>
      </c>
      <c r="BD38" s="108">
        <f t="shared" si="55"/>
        <v>0</v>
      </c>
      <c r="BE38" s="108">
        <f t="shared" si="55"/>
        <v>0</v>
      </c>
      <c r="BF38" s="108">
        <f t="shared" si="55"/>
        <v>0</v>
      </c>
      <c r="BG38" s="108">
        <f t="shared" si="55"/>
        <v>0</v>
      </c>
      <c r="BH38" s="108">
        <f t="shared" si="55"/>
        <v>0</v>
      </c>
      <c r="BI38" s="108">
        <f t="shared" si="55"/>
        <v>0</v>
      </c>
      <c r="BJ38" s="108">
        <f t="shared" si="55"/>
        <v>0</v>
      </c>
      <c r="BK38" s="108">
        <f t="shared" si="55"/>
        <v>0</v>
      </c>
      <c r="BL38" s="108">
        <f t="shared" si="55"/>
        <v>0</v>
      </c>
      <c r="BM38" s="108">
        <f t="shared" si="55"/>
        <v>0</v>
      </c>
      <c r="BN38" s="110">
        <f t="shared" si="55"/>
        <v>0</v>
      </c>
      <c r="BO38" s="110">
        <f t="shared" si="55"/>
        <v>0</v>
      </c>
      <c r="BP38" s="110">
        <f t="shared" si="55"/>
        <v>0</v>
      </c>
      <c r="BQ38" s="110">
        <f t="shared" si="55"/>
        <v>0</v>
      </c>
      <c r="BR38" s="110">
        <f t="shared" si="55"/>
        <v>0</v>
      </c>
      <c r="BS38" s="110">
        <f t="shared" si="55"/>
        <v>0</v>
      </c>
      <c r="BT38" s="110">
        <f aca="true" t="shared" si="56" ref="BT38:CK38">BT11</f>
        <v>0</v>
      </c>
      <c r="BU38" s="110">
        <f t="shared" si="56"/>
        <v>0</v>
      </c>
      <c r="BV38" s="110">
        <f t="shared" si="56"/>
        <v>0</v>
      </c>
      <c r="BW38" s="110">
        <f t="shared" si="56"/>
        <v>0</v>
      </c>
      <c r="BX38" s="110">
        <f t="shared" si="56"/>
        <v>0</v>
      </c>
      <c r="BY38" s="110">
        <f t="shared" si="56"/>
        <v>0</v>
      </c>
      <c r="BZ38" s="108">
        <f t="shared" si="56"/>
        <v>0</v>
      </c>
      <c r="CA38" s="108">
        <f t="shared" si="56"/>
        <v>0</v>
      </c>
      <c r="CB38" s="108">
        <f t="shared" si="56"/>
        <v>0</v>
      </c>
      <c r="CC38" s="108">
        <f t="shared" si="56"/>
        <v>0</v>
      </c>
      <c r="CD38" s="108">
        <f t="shared" si="56"/>
        <v>0</v>
      </c>
      <c r="CE38" s="108">
        <f t="shared" si="56"/>
        <v>0</v>
      </c>
      <c r="CF38" s="108">
        <f t="shared" si="56"/>
        <v>0</v>
      </c>
      <c r="CG38" s="108">
        <f t="shared" si="56"/>
        <v>0</v>
      </c>
      <c r="CH38" s="108">
        <f t="shared" si="56"/>
        <v>0</v>
      </c>
      <c r="CI38" s="108">
        <f t="shared" si="56"/>
        <v>0</v>
      </c>
      <c r="CJ38" s="108">
        <f t="shared" si="56"/>
        <v>0</v>
      </c>
      <c r="CK38" s="108">
        <f t="shared" si="56"/>
        <v>0</v>
      </c>
    </row>
    <row r="39" spans="1:89" ht="6" customHeight="1">
      <c r="A39" s="106"/>
      <c r="B39" s="206"/>
      <c r="C39" s="111"/>
      <c r="D39" s="112"/>
      <c r="E39" s="112"/>
      <c r="F39" s="112"/>
      <c r="G39" s="113"/>
      <c r="H39" s="113"/>
      <c r="I39" s="112"/>
      <c r="J39" s="112"/>
      <c r="K39" s="112"/>
      <c r="L39" s="112"/>
      <c r="M39" s="113"/>
      <c r="N39" s="113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4"/>
      <c r="AE39" s="114"/>
      <c r="AF39" s="114"/>
      <c r="AG39" s="114"/>
      <c r="AH39" s="114"/>
      <c r="AI39" s="114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4"/>
      <c r="AW39" s="114"/>
      <c r="AX39" s="114"/>
      <c r="AY39" s="114"/>
      <c r="AZ39" s="114"/>
      <c r="BA39" s="114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</row>
    <row r="40" spans="1:89" ht="14.25">
      <c r="A40" s="106" t="s">
        <v>25</v>
      </c>
      <c r="B40" s="106"/>
      <c r="C40" s="108">
        <f>C34+C36+C38</f>
        <v>0</v>
      </c>
      <c r="D40" s="108">
        <f aca="true" t="shared" si="57" ref="D40:BS40">D34+D36+D38</f>
        <v>0</v>
      </c>
      <c r="E40" s="108">
        <f t="shared" si="57"/>
        <v>0</v>
      </c>
      <c r="F40" s="108">
        <f t="shared" si="57"/>
        <v>0</v>
      </c>
      <c r="G40" s="109">
        <f t="shared" si="57"/>
        <v>0</v>
      </c>
      <c r="H40" s="109"/>
      <c r="I40" s="108"/>
      <c r="J40" s="108">
        <f t="shared" si="57"/>
        <v>0</v>
      </c>
      <c r="K40" s="108">
        <f t="shared" si="57"/>
        <v>0</v>
      </c>
      <c r="L40" s="108">
        <f t="shared" si="57"/>
        <v>0</v>
      </c>
      <c r="M40" s="109">
        <f t="shared" si="57"/>
        <v>0</v>
      </c>
      <c r="N40" s="109"/>
      <c r="O40" s="108"/>
      <c r="P40" s="108">
        <f t="shared" si="57"/>
        <v>564674244.36</v>
      </c>
      <c r="Q40" s="108">
        <f t="shared" si="57"/>
        <v>168715911.17000002</v>
      </c>
      <c r="R40" s="108">
        <f t="shared" si="57"/>
        <v>20521892</v>
      </c>
      <c r="S40" s="108">
        <f t="shared" si="57"/>
        <v>148194019.17000002</v>
      </c>
      <c r="T40" s="108">
        <f t="shared" si="57"/>
        <v>3000000</v>
      </c>
      <c r="U40" s="108">
        <f t="shared" si="57"/>
        <v>392958333.19</v>
      </c>
      <c r="V40" s="108">
        <f t="shared" si="57"/>
        <v>395958333.19</v>
      </c>
      <c r="W40" s="108">
        <f t="shared" si="57"/>
        <v>39421886.05</v>
      </c>
      <c r="X40" s="108">
        <f t="shared" si="57"/>
        <v>0</v>
      </c>
      <c r="Y40" s="108">
        <f t="shared" si="57"/>
        <v>0</v>
      </c>
      <c r="Z40" s="108">
        <f t="shared" si="57"/>
        <v>0</v>
      </c>
      <c r="AA40" s="108">
        <f t="shared" si="57"/>
        <v>990000</v>
      </c>
      <c r="AB40" s="108">
        <f t="shared" si="57"/>
        <v>38431886.05</v>
      </c>
      <c r="AC40" s="108">
        <f t="shared" si="57"/>
        <v>39421886.05</v>
      </c>
      <c r="AD40" s="110">
        <f t="shared" si="57"/>
        <v>16589359</v>
      </c>
      <c r="AE40" s="110">
        <f t="shared" si="57"/>
        <v>16128292</v>
      </c>
      <c r="AF40" s="110">
        <f t="shared" si="57"/>
        <v>461067</v>
      </c>
      <c r="AG40" s="110">
        <f t="shared" si="57"/>
        <v>0</v>
      </c>
      <c r="AH40" s="110">
        <f t="shared" si="57"/>
        <v>0</v>
      </c>
      <c r="AI40" s="110">
        <f t="shared" si="57"/>
        <v>0</v>
      </c>
      <c r="AJ40" s="108">
        <f t="shared" si="57"/>
        <v>14523859</v>
      </c>
      <c r="AK40" s="108">
        <f t="shared" si="57"/>
        <v>14177792</v>
      </c>
      <c r="AL40" s="108">
        <f t="shared" si="57"/>
        <v>346067</v>
      </c>
      <c r="AM40" s="108">
        <f t="shared" si="57"/>
        <v>0</v>
      </c>
      <c r="AN40" s="108">
        <f t="shared" si="57"/>
        <v>0</v>
      </c>
      <c r="AO40" s="108">
        <f t="shared" si="57"/>
        <v>0</v>
      </c>
      <c r="AP40" s="108">
        <f t="shared" si="57"/>
        <v>2065500</v>
      </c>
      <c r="AQ40" s="108">
        <f t="shared" si="57"/>
        <v>1950500</v>
      </c>
      <c r="AR40" s="108">
        <f t="shared" si="57"/>
        <v>115000</v>
      </c>
      <c r="AS40" s="108">
        <f t="shared" si="57"/>
        <v>0</v>
      </c>
      <c r="AT40" s="108">
        <f t="shared" si="57"/>
        <v>0</v>
      </c>
      <c r="AU40" s="108">
        <f t="shared" si="57"/>
        <v>0</v>
      </c>
      <c r="AV40" s="110">
        <f t="shared" si="57"/>
        <v>4758600</v>
      </c>
      <c r="AW40" s="110">
        <f t="shared" si="57"/>
        <v>4393600</v>
      </c>
      <c r="AX40" s="110">
        <f t="shared" si="57"/>
        <v>365000</v>
      </c>
      <c r="AY40" s="110">
        <f t="shared" si="57"/>
        <v>0</v>
      </c>
      <c r="AZ40" s="110">
        <f t="shared" si="57"/>
        <v>0</v>
      </c>
      <c r="BA40" s="110">
        <f t="shared" si="57"/>
        <v>0</v>
      </c>
      <c r="BB40" s="108">
        <f t="shared" si="57"/>
        <v>0</v>
      </c>
      <c r="BC40" s="108">
        <f t="shared" si="57"/>
        <v>0</v>
      </c>
      <c r="BD40" s="108">
        <f t="shared" si="57"/>
        <v>0</v>
      </c>
      <c r="BE40" s="108">
        <f t="shared" si="57"/>
        <v>0</v>
      </c>
      <c r="BF40" s="108">
        <f t="shared" si="57"/>
        <v>0</v>
      </c>
      <c r="BG40" s="108">
        <f t="shared" si="57"/>
        <v>0</v>
      </c>
      <c r="BH40" s="108">
        <f t="shared" si="57"/>
        <v>4758600</v>
      </c>
      <c r="BI40" s="108">
        <f t="shared" si="57"/>
        <v>4393600</v>
      </c>
      <c r="BJ40" s="108">
        <f t="shared" si="57"/>
        <v>365000</v>
      </c>
      <c r="BK40" s="108">
        <f t="shared" si="57"/>
        <v>0</v>
      </c>
      <c r="BL40" s="108">
        <f t="shared" si="57"/>
        <v>0</v>
      </c>
      <c r="BM40" s="108">
        <f t="shared" si="57"/>
        <v>0</v>
      </c>
      <c r="BN40" s="110">
        <f t="shared" si="57"/>
        <v>0</v>
      </c>
      <c r="BO40" s="110">
        <f t="shared" si="57"/>
        <v>0</v>
      </c>
      <c r="BP40" s="110">
        <f t="shared" si="57"/>
        <v>0</v>
      </c>
      <c r="BQ40" s="110">
        <f t="shared" si="57"/>
        <v>0</v>
      </c>
      <c r="BR40" s="110">
        <f t="shared" si="57"/>
        <v>0</v>
      </c>
      <c r="BS40" s="110">
        <f t="shared" si="57"/>
        <v>0</v>
      </c>
      <c r="BT40" s="110">
        <f aca="true" t="shared" si="58" ref="BT40:CK40">BT34+BT36+BT38</f>
        <v>2173933</v>
      </c>
      <c r="BU40" s="110">
        <f t="shared" si="58"/>
        <v>0</v>
      </c>
      <c r="BV40" s="110">
        <f t="shared" si="58"/>
        <v>2173933</v>
      </c>
      <c r="BW40" s="110">
        <f t="shared" si="58"/>
        <v>990000</v>
      </c>
      <c r="BX40" s="110">
        <f t="shared" si="58"/>
        <v>0</v>
      </c>
      <c r="BY40" s="110">
        <f t="shared" si="58"/>
        <v>990000</v>
      </c>
      <c r="BZ40" s="108">
        <f t="shared" si="58"/>
        <v>2000000</v>
      </c>
      <c r="CA40" s="108">
        <f t="shared" si="58"/>
        <v>0</v>
      </c>
      <c r="CB40" s="108">
        <f t="shared" si="58"/>
        <v>2000000</v>
      </c>
      <c r="CC40" s="108">
        <f t="shared" si="58"/>
        <v>990000</v>
      </c>
      <c r="CD40" s="108">
        <f t="shared" si="58"/>
        <v>0</v>
      </c>
      <c r="CE40" s="108">
        <f t="shared" si="58"/>
        <v>990000</v>
      </c>
      <c r="CF40" s="108">
        <f t="shared" si="58"/>
        <v>173933</v>
      </c>
      <c r="CG40" s="108">
        <f t="shared" si="58"/>
        <v>0</v>
      </c>
      <c r="CH40" s="108">
        <f t="shared" si="58"/>
        <v>173933</v>
      </c>
      <c r="CI40" s="108">
        <f t="shared" si="58"/>
        <v>0</v>
      </c>
      <c r="CJ40" s="108">
        <f t="shared" si="58"/>
        <v>0</v>
      </c>
      <c r="CK40" s="108">
        <f t="shared" si="58"/>
        <v>0</v>
      </c>
    </row>
    <row r="41" spans="1:89" ht="4.5" customHeight="1">
      <c r="A41" s="106"/>
      <c r="B41" s="106"/>
      <c r="C41" s="112"/>
      <c r="D41" s="86"/>
      <c r="E41" s="86"/>
      <c r="F41" s="86"/>
      <c r="G41" s="87"/>
      <c r="H41" s="87"/>
      <c r="I41" s="86"/>
      <c r="J41" s="86"/>
      <c r="K41" s="86"/>
      <c r="L41" s="86"/>
      <c r="M41" s="87"/>
      <c r="N41" s="87"/>
      <c r="O41" s="86"/>
      <c r="P41" s="115"/>
      <c r="Q41" s="115"/>
      <c r="R41" s="115"/>
      <c r="S41" s="116"/>
      <c r="T41" s="115"/>
      <c r="U41" s="116"/>
      <c r="V41" s="115"/>
      <c r="W41" s="115"/>
      <c r="X41" s="115"/>
      <c r="Y41" s="115"/>
      <c r="Z41" s="116"/>
      <c r="AA41" s="115"/>
      <c r="AB41" s="116"/>
      <c r="AC41" s="115"/>
      <c r="AD41" s="117"/>
      <c r="AE41" s="117"/>
      <c r="AF41" s="117"/>
      <c r="AG41" s="117"/>
      <c r="AH41" s="117"/>
      <c r="AI41" s="117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17"/>
      <c r="AW41" s="117"/>
      <c r="AX41" s="117"/>
      <c r="AY41" s="117"/>
      <c r="AZ41" s="117"/>
      <c r="BA41" s="117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</row>
    <row r="42" spans="1:89" ht="14.25">
      <c r="A42" s="106" t="s">
        <v>72</v>
      </c>
      <c r="B42" s="106"/>
      <c r="C42" s="108">
        <f>C34+C36</f>
        <v>0</v>
      </c>
      <c r="D42" s="108">
        <f aca="true" t="shared" si="59" ref="D42:BO42">D34+D36</f>
        <v>0</v>
      </c>
      <c r="E42" s="108">
        <f t="shared" si="59"/>
        <v>0</v>
      </c>
      <c r="F42" s="108">
        <f t="shared" si="59"/>
        <v>0</v>
      </c>
      <c r="G42" s="108">
        <f t="shared" si="59"/>
        <v>0</v>
      </c>
      <c r="H42" s="108">
        <f t="shared" si="59"/>
        <v>0</v>
      </c>
      <c r="I42" s="108"/>
      <c r="J42" s="108"/>
      <c r="K42" s="108"/>
      <c r="L42" s="108"/>
      <c r="M42" s="108"/>
      <c r="N42" s="108"/>
      <c r="O42" s="108"/>
      <c r="P42" s="108">
        <f t="shared" si="59"/>
        <v>539324616.9</v>
      </c>
      <c r="Q42" s="108">
        <f t="shared" si="59"/>
        <v>166016411.17000002</v>
      </c>
      <c r="R42" s="108">
        <f t="shared" si="59"/>
        <v>20521892</v>
      </c>
      <c r="S42" s="108">
        <f t="shared" si="59"/>
        <v>145494519.17000002</v>
      </c>
      <c r="T42" s="108">
        <f t="shared" si="59"/>
        <v>3000000</v>
      </c>
      <c r="U42" s="108">
        <f t="shared" si="59"/>
        <v>370308205.73</v>
      </c>
      <c r="V42" s="108">
        <f t="shared" si="59"/>
        <v>373308205.73</v>
      </c>
      <c r="W42" s="108">
        <f t="shared" si="59"/>
        <v>34987207.62</v>
      </c>
      <c r="X42" s="108">
        <f t="shared" si="59"/>
        <v>0</v>
      </c>
      <c r="Y42" s="108">
        <f t="shared" si="59"/>
        <v>0</v>
      </c>
      <c r="Z42" s="108">
        <f t="shared" si="59"/>
        <v>0</v>
      </c>
      <c r="AA42" s="108">
        <f t="shared" si="59"/>
        <v>990000</v>
      </c>
      <c r="AB42" s="108">
        <f t="shared" si="59"/>
        <v>33997207.62</v>
      </c>
      <c r="AC42" s="108">
        <f t="shared" si="59"/>
        <v>34987207.62</v>
      </c>
      <c r="AD42" s="108">
        <f t="shared" si="59"/>
        <v>16589359</v>
      </c>
      <c r="AE42" s="108">
        <f t="shared" si="59"/>
        <v>16128292</v>
      </c>
      <c r="AF42" s="108">
        <f t="shared" si="59"/>
        <v>461067</v>
      </c>
      <c r="AG42" s="108">
        <f t="shared" si="59"/>
        <v>0</v>
      </c>
      <c r="AH42" s="108">
        <f t="shared" si="59"/>
        <v>0</v>
      </c>
      <c r="AI42" s="108">
        <f t="shared" si="59"/>
        <v>0</v>
      </c>
      <c r="AJ42" s="108">
        <f t="shared" si="59"/>
        <v>14523859</v>
      </c>
      <c r="AK42" s="108">
        <f t="shared" si="59"/>
        <v>14177792</v>
      </c>
      <c r="AL42" s="108">
        <f t="shared" si="59"/>
        <v>346067</v>
      </c>
      <c r="AM42" s="108">
        <f t="shared" si="59"/>
        <v>0</v>
      </c>
      <c r="AN42" s="108">
        <f t="shared" si="59"/>
        <v>0</v>
      </c>
      <c r="AO42" s="108">
        <f t="shared" si="59"/>
        <v>0</v>
      </c>
      <c r="AP42" s="108">
        <f t="shared" si="59"/>
        <v>2065500</v>
      </c>
      <c r="AQ42" s="108">
        <f t="shared" si="59"/>
        <v>1950500</v>
      </c>
      <c r="AR42" s="108">
        <f t="shared" si="59"/>
        <v>115000</v>
      </c>
      <c r="AS42" s="108">
        <f t="shared" si="59"/>
        <v>0</v>
      </c>
      <c r="AT42" s="108">
        <f t="shared" si="59"/>
        <v>0</v>
      </c>
      <c r="AU42" s="108">
        <f t="shared" si="59"/>
        <v>0</v>
      </c>
      <c r="AV42" s="108">
        <f t="shared" si="59"/>
        <v>4758600</v>
      </c>
      <c r="AW42" s="108">
        <f t="shared" si="59"/>
        <v>4393600</v>
      </c>
      <c r="AX42" s="108">
        <f t="shared" si="59"/>
        <v>365000</v>
      </c>
      <c r="AY42" s="108">
        <f t="shared" si="59"/>
        <v>0</v>
      </c>
      <c r="AZ42" s="108">
        <f t="shared" si="59"/>
        <v>0</v>
      </c>
      <c r="BA42" s="108">
        <f t="shared" si="59"/>
        <v>0</v>
      </c>
      <c r="BB42" s="108">
        <f t="shared" si="59"/>
        <v>0</v>
      </c>
      <c r="BC42" s="108">
        <f t="shared" si="59"/>
        <v>0</v>
      </c>
      <c r="BD42" s="108">
        <f t="shared" si="59"/>
        <v>0</v>
      </c>
      <c r="BE42" s="108">
        <f t="shared" si="59"/>
        <v>0</v>
      </c>
      <c r="BF42" s="108">
        <f t="shared" si="59"/>
        <v>0</v>
      </c>
      <c r="BG42" s="108">
        <f t="shared" si="59"/>
        <v>0</v>
      </c>
      <c r="BH42" s="108">
        <f t="shared" si="59"/>
        <v>4758600</v>
      </c>
      <c r="BI42" s="108">
        <f t="shared" si="59"/>
        <v>4393600</v>
      </c>
      <c r="BJ42" s="108">
        <f t="shared" si="59"/>
        <v>365000</v>
      </c>
      <c r="BK42" s="108">
        <f t="shared" si="59"/>
        <v>0</v>
      </c>
      <c r="BL42" s="108">
        <f t="shared" si="59"/>
        <v>0</v>
      </c>
      <c r="BM42" s="108">
        <f t="shared" si="59"/>
        <v>0</v>
      </c>
      <c r="BN42" s="108">
        <f t="shared" si="59"/>
        <v>0</v>
      </c>
      <c r="BO42" s="108">
        <f t="shared" si="59"/>
        <v>0</v>
      </c>
      <c r="BP42" s="108">
        <f aca="true" t="shared" si="60" ref="BP42:CK42">BP34+BP36</f>
        <v>0</v>
      </c>
      <c r="BQ42" s="108">
        <f t="shared" si="60"/>
        <v>0</v>
      </c>
      <c r="BR42" s="108">
        <f t="shared" si="60"/>
        <v>0</v>
      </c>
      <c r="BS42" s="108">
        <f t="shared" si="60"/>
        <v>0</v>
      </c>
      <c r="BT42" s="108">
        <f t="shared" si="60"/>
        <v>2173933</v>
      </c>
      <c r="BU42" s="108">
        <f t="shared" si="60"/>
        <v>0</v>
      </c>
      <c r="BV42" s="108">
        <f t="shared" si="60"/>
        <v>2173933</v>
      </c>
      <c r="BW42" s="108">
        <f t="shared" si="60"/>
        <v>990000</v>
      </c>
      <c r="BX42" s="108">
        <f t="shared" si="60"/>
        <v>0</v>
      </c>
      <c r="BY42" s="108">
        <f t="shared" si="60"/>
        <v>990000</v>
      </c>
      <c r="BZ42" s="108">
        <f t="shared" si="60"/>
        <v>2000000</v>
      </c>
      <c r="CA42" s="108">
        <f t="shared" si="60"/>
        <v>0</v>
      </c>
      <c r="CB42" s="108">
        <f t="shared" si="60"/>
        <v>2000000</v>
      </c>
      <c r="CC42" s="108">
        <f t="shared" si="60"/>
        <v>990000</v>
      </c>
      <c r="CD42" s="108">
        <f t="shared" si="60"/>
        <v>0</v>
      </c>
      <c r="CE42" s="108">
        <f t="shared" si="60"/>
        <v>990000</v>
      </c>
      <c r="CF42" s="108">
        <f t="shared" si="60"/>
        <v>173933</v>
      </c>
      <c r="CG42" s="108">
        <f t="shared" si="60"/>
        <v>0</v>
      </c>
      <c r="CH42" s="108">
        <f t="shared" si="60"/>
        <v>173933</v>
      </c>
      <c r="CI42" s="108">
        <f t="shared" si="60"/>
        <v>0</v>
      </c>
      <c r="CJ42" s="108">
        <f t="shared" si="60"/>
        <v>0</v>
      </c>
      <c r="CK42" s="108">
        <f t="shared" si="60"/>
        <v>0</v>
      </c>
    </row>
  </sheetData>
  <sheetProtection password="E90F" sheet="1" sort="0"/>
  <protectedRanges>
    <protectedRange password="CF7A" sqref="F7:I7 F8:F24 H8:I24 L7:AC24" name="Диапазон1"/>
  </protectedRanges>
  <autoFilter ref="A5:CL26">
    <sortState ref="A6:CL42">
      <sortCondition sortBy="cellColor" dxfId="0" ref="A6:A42"/>
    </sortState>
  </autoFilter>
  <mergeCells count="43">
    <mergeCell ref="D3:G3"/>
    <mergeCell ref="J3:M3"/>
    <mergeCell ref="AV3:BA3"/>
    <mergeCell ref="AV4:AX4"/>
    <mergeCell ref="AY4:BA4"/>
    <mergeCell ref="AV6:BA6"/>
    <mergeCell ref="AJ3:AO3"/>
    <mergeCell ref="AD4:AF4"/>
    <mergeCell ref="BT6:BY6"/>
    <mergeCell ref="AJ4:AL4"/>
    <mergeCell ref="AM4:AO4"/>
    <mergeCell ref="AP3:AU3"/>
    <mergeCell ref="AP4:AR4"/>
    <mergeCell ref="AS4:AU4"/>
    <mergeCell ref="AJ6:AU6"/>
    <mergeCell ref="A2:A5"/>
    <mergeCell ref="AD2:CL2"/>
    <mergeCell ref="AD3:AI3"/>
    <mergeCell ref="BB3:BG3"/>
    <mergeCell ref="BN3:BS3"/>
    <mergeCell ref="P4:V4"/>
    <mergeCell ref="W4:AC4"/>
    <mergeCell ref="BH4:BJ4"/>
    <mergeCell ref="BT3:BY3"/>
    <mergeCell ref="BT4:BV4"/>
    <mergeCell ref="BZ3:CE3"/>
    <mergeCell ref="AG4:AI4"/>
    <mergeCell ref="BB4:BD4"/>
    <mergeCell ref="BE4:BG4"/>
    <mergeCell ref="BH3:BM3"/>
    <mergeCell ref="BQ4:BS4"/>
    <mergeCell ref="BK4:BM4"/>
    <mergeCell ref="BW4:BY4"/>
    <mergeCell ref="D2:N2"/>
    <mergeCell ref="CF4:CH4"/>
    <mergeCell ref="BZ4:CB4"/>
    <mergeCell ref="C2:C4"/>
    <mergeCell ref="P2:AC3"/>
    <mergeCell ref="CF3:CL3"/>
    <mergeCell ref="CL4:CL5"/>
    <mergeCell ref="CI4:CK4"/>
    <mergeCell ref="CC4:CE4"/>
    <mergeCell ref="BN4:BP4"/>
  </mergeCells>
  <printOptions/>
  <pageMargins left="0.1968503937007874" right="0" top="0" bottom="0" header="0.15748031496062992" footer="0.15748031496062992"/>
  <pageSetup fitToWidth="2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Петрова Людмила Алексеевна</cp:lastModifiedBy>
  <cp:lastPrinted>2019-01-22T06:18:16Z</cp:lastPrinted>
  <dcterms:created xsi:type="dcterms:W3CDTF">2014-03-05T10:35:30Z</dcterms:created>
  <dcterms:modified xsi:type="dcterms:W3CDTF">2019-04-03T12:11:23Z</dcterms:modified>
  <cp:category/>
  <cp:version/>
  <cp:contentType/>
  <cp:contentStatus/>
</cp:coreProperties>
</file>